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bookViews>
    <workbookView xWindow="-120" yWindow="-120" windowWidth="20730" windowHeight="11040" tabRatio="639" activeTab="8"/>
  </bookViews>
  <sheets>
    <sheet name="Checklist" sheetId="57" r:id="rId1"/>
    <sheet name="F1" sheetId="58" r:id="rId2"/>
    <sheet name="F2" sheetId="66" r:id="rId3"/>
    <sheet name="F2.1" sheetId="67" r:id="rId4"/>
    <sheet name="F2.2" sheetId="68" r:id="rId5"/>
    <sheet name="F2.3" sheetId="69" r:id="rId6"/>
    <sheet name="F3" sheetId="93" r:id="rId7"/>
    <sheet name="F3.1" sheetId="101" r:id="rId8"/>
    <sheet name="F3.2" sheetId="109" r:id="rId9"/>
    <sheet name="F4" sheetId="102" r:id="rId10"/>
    <sheet name="F5" sheetId="103" r:id="rId11"/>
    <sheet name="F6" sheetId="104" r:id="rId12"/>
    <sheet name="F7" sheetId="105" r:id="rId13"/>
    <sheet name="F8" sheetId="106" r:id="rId14"/>
    <sheet name="F9" sheetId="64" r:id="rId15"/>
    <sheet name="F10" sheetId="81" r:id="rId16"/>
    <sheet name="F11" sheetId="107" r:id="rId17"/>
    <sheet name="F11.1" sheetId="111" r:id="rId18"/>
    <sheet name="F12" sheetId="110" r:id="rId19"/>
    <sheet name="F13" sheetId="71" r:id="rId20"/>
    <sheet name="F15" sheetId="91" r:id="rId21"/>
  </sheets>
  <externalReferences>
    <externalReference r:id="rId22"/>
    <externalReference r:id="rId23"/>
    <externalReference r:id="rId24"/>
  </externalReferences>
  <definedNames>
    <definedName name="__123Graph_A" localSheetId="6" hidden="1">[1]CE!#REF!</definedName>
    <definedName name="__123Graph_A" localSheetId="7" hidden="1">[1]CE!#REF!</definedName>
    <definedName name="__123Graph_A" localSheetId="9" hidden="1">[1]CE!#REF!</definedName>
    <definedName name="__123Graph_A" localSheetId="10" hidden="1">[1]CE!#REF!</definedName>
    <definedName name="__123Graph_A" localSheetId="11" hidden="1">[1]CE!#REF!</definedName>
    <definedName name="__123Graph_A" localSheetId="12" hidden="1">[1]CE!#REF!</definedName>
    <definedName name="__123Graph_A" localSheetId="13" hidden="1">[1]CE!#REF!</definedName>
    <definedName name="__123Graph_ASTNPLF" localSheetId="6" hidden="1">[1]CE!#REF!</definedName>
    <definedName name="__123Graph_ASTNPLF" localSheetId="7" hidden="1">[1]CE!#REF!</definedName>
    <definedName name="__123Graph_ASTNPLF" localSheetId="9" hidden="1">[1]CE!#REF!</definedName>
    <definedName name="__123Graph_ASTNPLF" localSheetId="10" hidden="1">[1]CE!#REF!</definedName>
    <definedName name="__123Graph_ASTNPLF" localSheetId="11" hidden="1">[1]CE!#REF!</definedName>
    <definedName name="__123Graph_ASTNPLF" localSheetId="12" hidden="1">[1]CE!#REF!</definedName>
    <definedName name="__123Graph_ASTNPLF" localSheetId="13" hidden="1">[1]CE!#REF!</definedName>
    <definedName name="__123Graph_B" localSheetId="6" hidden="1">[1]CE!#REF!</definedName>
    <definedName name="__123Graph_B" localSheetId="7" hidden="1">[1]CE!#REF!</definedName>
    <definedName name="__123Graph_B" localSheetId="9" hidden="1">[1]CE!#REF!</definedName>
    <definedName name="__123Graph_B" localSheetId="10" hidden="1">[1]CE!#REF!</definedName>
    <definedName name="__123Graph_B" localSheetId="11" hidden="1">[1]CE!#REF!</definedName>
    <definedName name="__123Graph_B" localSheetId="12" hidden="1">[1]CE!#REF!</definedName>
    <definedName name="__123Graph_B" localSheetId="13" hidden="1">[1]CE!#REF!</definedName>
    <definedName name="__123Graph_BSTNPLF" localSheetId="6" hidden="1">[1]CE!#REF!</definedName>
    <definedName name="__123Graph_BSTNPLF" localSheetId="7" hidden="1">[1]CE!#REF!</definedName>
    <definedName name="__123Graph_BSTNPLF" localSheetId="9" hidden="1">[1]CE!#REF!</definedName>
    <definedName name="__123Graph_BSTNPLF" localSheetId="10" hidden="1">[1]CE!#REF!</definedName>
    <definedName name="__123Graph_BSTNPLF" localSheetId="11" hidden="1">[1]CE!#REF!</definedName>
    <definedName name="__123Graph_BSTNPLF" localSheetId="12" hidden="1">[1]CE!#REF!</definedName>
    <definedName name="__123Graph_BSTNPLF" localSheetId="13" hidden="1">[1]CE!#REF!</definedName>
    <definedName name="__123Graph_C" localSheetId="6" hidden="1">[1]CE!#REF!</definedName>
    <definedName name="__123Graph_C" localSheetId="7" hidden="1">[1]CE!#REF!</definedName>
    <definedName name="__123Graph_C" localSheetId="9" hidden="1">[1]CE!#REF!</definedName>
    <definedName name="__123Graph_C" localSheetId="10" hidden="1">[1]CE!#REF!</definedName>
    <definedName name="__123Graph_C" localSheetId="11" hidden="1">[1]CE!#REF!</definedName>
    <definedName name="__123Graph_C" localSheetId="12" hidden="1">[1]CE!#REF!</definedName>
    <definedName name="__123Graph_C" localSheetId="13" hidden="1">[1]CE!#REF!</definedName>
    <definedName name="__123Graph_CSTNPLF" localSheetId="6" hidden="1">[1]CE!#REF!</definedName>
    <definedName name="__123Graph_CSTNPLF" localSheetId="7" hidden="1">[1]CE!#REF!</definedName>
    <definedName name="__123Graph_CSTNPLF" localSheetId="9" hidden="1">[1]CE!#REF!</definedName>
    <definedName name="__123Graph_CSTNPLF" localSheetId="10" hidden="1">[1]CE!#REF!</definedName>
    <definedName name="__123Graph_CSTNPLF" localSheetId="11" hidden="1">[1]CE!#REF!</definedName>
    <definedName name="__123Graph_CSTNPLF" localSheetId="12" hidden="1">[1]CE!#REF!</definedName>
    <definedName name="__123Graph_CSTNPLF" localSheetId="13" hidden="1">[1]CE!#REF!</definedName>
    <definedName name="__123Graph_X" localSheetId="6" hidden="1">[1]CE!#REF!</definedName>
    <definedName name="__123Graph_X" localSheetId="7" hidden="1">[1]CE!#REF!</definedName>
    <definedName name="__123Graph_X" localSheetId="9" hidden="1">[1]CE!#REF!</definedName>
    <definedName name="__123Graph_X" localSheetId="10" hidden="1">[1]CE!#REF!</definedName>
    <definedName name="__123Graph_X" localSheetId="11" hidden="1">[1]CE!#REF!</definedName>
    <definedName name="__123Graph_X" localSheetId="12" hidden="1">[1]CE!#REF!</definedName>
    <definedName name="__123Graph_X" localSheetId="13" hidden="1">[1]CE!#REF!</definedName>
    <definedName name="__123Graph_XSTNPLF" localSheetId="6" hidden="1">[1]CE!#REF!</definedName>
    <definedName name="__123Graph_XSTNPLF" localSheetId="7" hidden="1">[1]CE!#REF!</definedName>
    <definedName name="__123Graph_XSTNPLF" localSheetId="9" hidden="1">[1]CE!#REF!</definedName>
    <definedName name="__123Graph_XSTNPLF" localSheetId="10" hidden="1">[1]CE!#REF!</definedName>
    <definedName name="__123Graph_XSTNPLF" localSheetId="11" hidden="1">[1]CE!#REF!</definedName>
    <definedName name="__123Graph_XSTNPLF" localSheetId="12" hidden="1">[1]CE!#REF!</definedName>
    <definedName name="__123Graph_XSTNPLF" localSheetId="13" hidden="1">[1]CE!#REF!</definedName>
    <definedName name="_Fill" localSheetId="6" hidden="1">#REF!</definedName>
    <definedName name="_Fill" localSheetId="7"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3" hidden="1">#REF!</definedName>
    <definedName name="_Order1" hidden="1">255</definedName>
    <definedName name="new" localSheetId="6" hidden="1">[2]CE!#REF!</definedName>
    <definedName name="new" localSheetId="7" hidden="1">[2]CE!#REF!</definedName>
    <definedName name="new" localSheetId="9" hidden="1">[2]CE!#REF!</definedName>
    <definedName name="new" localSheetId="10" hidden="1">[2]CE!#REF!</definedName>
    <definedName name="new" localSheetId="11" hidden="1">[2]CE!#REF!</definedName>
    <definedName name="new" localSheetId="12" hidden="1">[2]CE!#REF!</definedName>
    <definedName name="new" localSheetId="13" hidden="1">[2]CE!#REF!</definedName>
    <definedName name="_xlnm.Print_Area" localSheetId="0">Checklist!$A$1:$E$26</definedName>
    <definedName name="_xlnm.Print_Area" localSheetId="12">'F7'!$B$2:$J$23</definedName>
    <definedName name="xxxx" localSheetId="6" hidden="1">[3]CE!#REF!</definedName>
    <definedName name="xxxx" localSheetId="7" hidden="1">[3]CE!#REF!</definedName>
    <definedName name="xxxx" localSheetId="9" hidden="1">[3]CE!#REF!</definedName>
    <definedName name="xxxx" localSheetId="10" hidden="1">[3]CE!#REF!</definedName>
    <definedName name="xxxx" localSheetId="11" hidden="1">[3]CE!#REF!</definedName>
    <definedName name="xxxx" localSheetId="12" hidden="1">[3]CE!#REF!</definedName>
    <definedName name="xxxx" localSheetId="13" hidden="1">[3]CE!#REF!</definedName>
  </definedNames>
  <calcPr calcId="144525" iterate="1" iterateCount="10000" iterateDelta="1.0000000000000001E-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101" l="1"/>
  <c r="H15" i="101"/>
  <c r="H17" i="101" s="1"/>
  <c r="F11" i="101"/>
  <c r="H9" i="101"/>
  <c r="H8" i="101"/>
  <c r="H11" i="101" s="1"/>
  <c r="Q30" i="91"/>
  <c r="Q14" i="91"/>
  <c r="Q15" i="91"/>
  <c r="Q18" i="91"/>
  <c r="Q20" i="91"/>
  <c r="Q21" i="91"/>
  <c r="Q22" i="91"/>
  <c r="Q24" i="91"/>
  <c r="Q13" i="91"/>
  <c r="E9" i="109"/>
  <c r="D9" i="109"/>
  <c r="E18" i="69"/>
  <c r="F18" i="69"/>
  <c r="D18" i="69"/>
  <c r="G56" i="102" l="1"/>
  <c r="H56" i="102"/>
  <c r="K56" i="102"/>
  <c r="L56" i="102"/>
  <c r="G39" i="102"/>
  <c r="H39" i="102"/>
  <c r="K39" i="102"/>
  <c r="J11" i="58" s="1"/>
  <c r="L39" i="102"/>
  <c r="G22" i="102"/>
  <c r="H22" i="102"/>
  <c r="J22" i="102"/>
  <c r="K22" i="102"/>
  <c r="L22" i="102"/>
  <c r="F22" i="102"/>
  <c r="I29" i="81"/>
  <c r="I28" i="81" s="1"/>
  <c r="J19" i="58" l="1"/>
  <c r="I19" i="58" s="1"/>
  <c r="L19" i="58"/>
  <c r="K19" i="58" s="1"/>
  <c r="E14" i="110"/>
  <c r="G38" i="81"/>
  <c r="G34" i="81"/>
  <c r="F29" i="81"/>
  <c r="F28" i="81" s="1"/>
  <c r="G28" i="81" s="1"/>
  <c r="F30" i="81"/>
  <c r="G30" i="81" s="1"/>
  <c r="B41" i="81"/>
  <c r="B42" i="81" s="1"/>
  <c r="B37" i="81"/>
  <c r="B38" i="81" s="1"/>
  <c r="B33" i="81"/>
  <c r="B34" i="81" s="1"/>
  <c r="K30" i="81"/>
  <c r="K28" i="81"/>
  <c r="J28" i="81"/>
  <c r="H28" i="81"/>
  <c r="B27" i="81"/>
  <c r="B28" i="81" s="1"/>
  <c r="B29" i="81" s="1"/>
  <c r="B30" i="81" s="1"/>
  <c r="G24" i="81"/>
  <c r="G23" i="81"/>
  <c r="B23" i="81"/>
  <c r="B24" i="81" s="1"/>
  <c r="G20" i="81"/>
  <c r="B19" i="81"/>
  <c r="B20" i="81" s="1"/>
  <c r="B15" i="81"/>
  <c r="B16" i="81" s="1"/>
  <c r="E33" i="71"/>
  <c r="N31" i="71"/>
  <c r="M31" i="71"/>
  <c r="L31" i="71"/>
  <c r="K31" i="71"/>
  <c r="J31" i="71"/>
  <c r="I31" i="71"/>
  <c r="H31" i="71"/>
  <c r="G31" i="71"/>
  <c r="F31" i="71"/>
  <c r="D31" i="71"/>
  <c r="C31" i="71"/>
  <c r="N29" i="71"/>
  <c r="N33" i="71" s="1"/>
  <c r="M29" i="71"/>
  <c r="L29" i="71"/>
  <c r="K29" i="71"/>
  <c r="J29" i="71"/>
  <c r="J33" i="71" s="1"/>
  <c r="I29" i="71"/>
  <c r="H29" i="71"/>
  <c r="G29" i="71"/>
  <c r="F29" i="71"/>
  <c r="F33" i="71" s="1"/>
  <c r="D29" i="71"/>
  <c r="C29" i="71"/>
  <c r="N21" i="71"/>
  <c r="M21" i="71"/>
  <c r="L21" i="71"/>
  <c r="K21" i="71"/>
  <c r="J21" i="71"/>
  <c r="I21" i="71"/>
  <c r="H21" i="71"/>
  <c r="G21" i="71"/>
  <c r="F21" i="71"/>
  <c r="E21" i="71"/>
  <c r="D21" i="71"/>
  <c r="C21" i="71"/>
  <c r="N19" i="71"/>
  <c r="N23" i="71" s="1"/>
  <c r="M19" i="71"/>
  <c r="M23" i="71" s="1"/>
  <c r="L19" i="71"/>
  <c r="L23" i="71" s="1"/>
  <c r="K19" i="71"/>
  <c r="K23" i="71" s="1"/>
  <c r="J19" i="71"/>
  <c r="J23" i="71" s="1"/>
  <c r="I19" i="71"/>
  <c r="I23" i="71" s="1"/>
  <c r="H19" i="71"/>
  <c r="H23" i="71" s="1"/>
  <c r="G19" i="71"/>
  <c r="G23" i="71" s="1"/>
  <c r="F19" i="71"/>
  <c r="F23" i="71" s="1"/>
  <c r="E19" i="71"/>
  <c r="E23" i="71" s="1"/>
  <c r="D19" i="71"/>
  <c r="D23" i="71" s="1"/>
  <c r="C19" i="71"/>
  <c r="N11" i="71"/>
  <c r="M11" i="71"/>
  <c r="L11" i="71"/>
  <c r="K11" i="71"/>
  <c r="J11" i="71"/>
  <c r="I11" i="71"/>
  <c r="H11" i="71"/>
  <c r="G11" i="71"/>
  <c r="F11" i="71"/>
  <c r="E11" i="71"/>
  <c r="D11" i="71"/>
  <c r="C11" i="71"/>
  <c r="N9" i="71"/>
  <c r="N13" i="71" s="1"/>
  <c r="M9" i="71"/>
  <c r="M13" i="71" s="1"/>
  <c r="L9" i="71"/>
  <c r="L13" i="71" s="1"/>
  <c r="K9" i="71"/>
  <c r="K13" i="71" s="1"/>
  <c r="J9" i="71"/>
  <c r="J13" i="71" s="1"/>
  <c r="I9" i="71"/>
  <c r="I13" i="71" s="1"/>
  <c r="H9" i="71"/>
  <c r="H13" i="71" s="1"/>
  <c r="G9" i="71"/>
  <c r="G13" i="71" s="1"/>
  <c r="F9" i="71"/>
  <c r="F13" i="71" s="1"/>
  <c r="E9" i="71"/>
  <c r="E13" i="71" s="1"/>
  <c r="D9" i="71"/>
  <c r="D13" i="71" s="1"/>
  <c r="C9" i="71"/>
  <c r="C13" i="71" s="1"/>
  <c r="C33" i="71" l="1"/>
  <c r="H33" i="71"/>
  <c r="L33" i="71"/>
  <c r="D33" i="71"/>
  <c r="I33" i="71"/>
  <c r="M33" i="71"/>
  <c r="O11" i="71"/>
  <c r="O21" i="71"/>
  <c r="G33" i="71"/>
  <c r="K33" i="71"/>
  <c r="G29" i="81"/>
  <c r="O19" i="71"/>
  <c r="O23" i="71" s="1"/>
  <c r="C23" i="71"/>
  <c r="O31" i="71"/>
  <c r="O29" i="71"/>
  <c r="O9" i="71"/>
  <c r="O13" i="71" s="1"/>
  <c r="O33" i="71" l="1"/>
  <c r="B51" i="107"/>
  <c r="B52" i="107" s="1"/>
  <c r="B53" i="107" s="1"/>
  <c r="V31" i="107"/>
  <c r="U31" i="107"/>
  <c r="T31" i="107"/>
  <c r="S31" i="107"/>
  <c r="R31" i="107"/>
  <c r="Q31" i="107"/>
  <c r="P31" i="107"/>
  <c r="O31" i="107"/>
  <c r="N31" i="107"/>
  <c r="M31" i="107"/>
  <c r="L31" i="107"/>
  <c r="K31" i="107"/>
  <c r="J31" i="107"/>
  <c r="I31" i="107"/>
  <c r="H31" i="107"/>
  <c r="G31" i="107"/>
  <c r="F31" i="107"/>
  <c r="E31" i="107"/>
  <c r="V21" i="107"/>
  <c r="V32" i="107" s="1"/>
  <c r="U21" i="107"/>
  <c r="T21" i="107"/>
  <c r="S21" i="107"/>
  <c r="R21" i="107"/>
  <c r="R32" i="107" s="1"/>
  <c r="Q21" i="107"/>
  <c r="P21" i="107"/>
  <c r="O21" i="107"/>
  <c r="N21" i="107"/>
  <c r="N32" i="107" s="1"/>
  <c r="M21" i="107"/>
  <c r="L21" i="107"/>
  <c r="K21" i="107"/>
  <c r="J21" i="107"/>
  <c r="J32" i="107" s="1"/>
  <c r="I21" i="107"/>
  <c r="H21" i="107"/>
  <c r="G21" i="107"/>
  <c r="F21" i="107"/>
  <c r="F32" i="107" s="1"/>
  <c r="E21" i="107"/>
  <c r="V14" i="107"/>
  <c r="V16" i="107" s="1"/>
  <c r="U14" i="107"/>
  <c r="U16" i="107" s="1"/>
  <c r="T14" i="107"/>
  <c r="T16" i="107" s="1"/>
  <c r="S14" i="107"/>
  <c r="S16" i="107" s="1"/>
  <c r="R14" i="107"/>
  <c r="R16" i="107" s="1"/>
  <c r="Q14" i="107"/>
  <c r="Q16" i="107" s="1"/>
  <c r="P14" i="107"/>
  <c r="P16" i="107" s="1"/>
  <c r="O14" i="107"/>
  <c r="O16" i="107" s="1"/>
  <c r="N14" i="107"/>
  <c r="N16" i="107" s="1"/>
  <c r="M14" i="107"/>
  <c r="M16" i="107" s="1"/>
  <c r="L14" i="107"/>
  <c r="L16" i="107" s="1"/>
  <c r="K14" i="107"/>
  <c r="K16" i="107" s="1"/>
  <c r="J14" i="107"/>
  <c r="J16" i="107" s="1"/>
  <c r="I14" i="107"/>
  <c r="I16" i="107" s="1"/>
  <c r="H14" i="107"/>
  <c r="H16" i="107" s="1"/>
  <c r="G14" i="107"/>
  <c r="G16" i="107" s="1"/>
  <c r="F14" i="107"/>
  <c r="F16" i="107" s="1"/>
  <c r="E14" i="107"/>
  <c r="E16" i="107" s="1"/>
  <c r="B10" i="107"/>
  <c r="B12" i="107" s="1"/>
  <c r="B13" i="107" s="1"/>
  <c r="B14" i="107" s="1"/>
  <c r="B15" i="107" s="1"/>
  <c r="B16" i="107" s="1"/>
  <c r="B18" i="107" s="1"/>
  <c r="B19" i="107" s="1"/>
  <c r="B20" i="107" s="1"/>
  <c r="B21" i="107" s="1"/>
  <c r="B23" i="107" s="1"/>
  <c r="B28" i="107" s="1"/>
  <c r="B29" i="107" s="1"/>
  <c r="B30" i="107" s="1"/>
  <c r="B31" i="107" s="1"/>
  <c r="B32" i="107" s="1"/>
  <c r="B34" i="107" s="1"/>
  <c r="B35" i="107" s="1"/>
  <c r="B36" i="107" s="1"/>
  <c r="B38" i="107" s="1"/>
  <c r="B39" i="107" s="1"/>
  <c r="B40" i="107" s="1"/>
  <c r="B41" i="107" s="1"/>
  <c r="B42" i="107" s="1"/>
  <c r="B43" i="107" s="1"/>
  <c r="B44" i="107" s="1"/>
  <c r="B45" i="107" s="1"/>
  <c r="B46" i="107" s="1"/>
  <c r="B47" i="107" s="1"/>
  <c r="AN31" i="111"/>
  <c r="AM31" i="111"/>
  <c r="AL31" i="111"/>
  <c r="AK31" i="111"/>
  <c r="AJ31" i="111"/>
  <c r="AI31" i="111"/>
  <c r="AH31" i="111"/>
  <c r="AG31" i="111"/>
  <c r="AF31" i="111"/>
  <c r="AE31" i="111"/>
  <c r="AD31" i="111"/>
  <c r="AC31" i="111"/>
  <c r="AB31" i="111"/>
  <c r="AA31" i="111"/>
  <c r="Z31" i="111"/>
  <c r="Y31" i="111"/>
  <c r="X31" i="111"/>
  <c r="W31" i="111"/>
  <c r="V31" i="111"/>
  <c r="U31" i="111"/>
  <c r="T31" i="111"/>
  <c r="S31" i="111"/>
  <c r="R31" i="111"/>
  <c r="Q31" i="111"/>
  <c r="P31" i="111"/>
  <c r="O31" i="111"/>
  <c r="N31" i="111"/>
  <c r="M31" i="111"/>
  <c r="L31" i="111"/>
  <c r="K31" i="111"/>
  <c r="J31" i="111"/>
  <c r="I31" i="111"/>
  <c r="H31" i="111"/>
  <c r="G31" i="111"/>
  <c r="F31" i="111"/>
  <c r="E31" i="111"/>
  <c r="AN21" i="111"/>
  <c r="AN32" i="111" s="1"/>
  <c r="AM21" i="111"/>
  <c r="AM32" i="111" s="1"/>
  <c r="AL21" i="111"/>
  <c r="AL32" i="111" s="1"/>
  <c r="AK21" i="111"/>
  <c r="AK32" i="111" s="1"/>
  <c r="AJ21" i="111"/>
  <c r="AJ32" i="111" s="1"/>
  <c r="AI21" i="111"/>
  <c r="AI32" i="111" s="1"/>
  <c r="AH21" i="111"/>
  <c r="AH32" i="111" s="1"/>
  <c r="AG21" i="111"/>
  <c r="AG32" i="111" s="1"/>
  <c r="AF21" i="111"/>
  <c r="AF32" i="111" s="1"/>
  <c r="AE21" i="111"/>
  <c r="AE32" i="111" s="1"/>
  <c r="AD21" i="111"/>
  <c r="AD32" i="111" s="1"/>
  <c r="AC21" i="111"/>
  <c r="AC32" i="111" s="1"/>
  <c r="AB21" i="111"/>
  <c r="AB32" i="111" s="1"/>
  <c r="AA21" i="111"/>
  <c r="AA32" i="111" s="1"/>
  <c r="Z21" i="111"/>
  <c r="Z32" i="111" s="1"/>
  <c r="Y21" i="111"/>
  <c r="Y32" i="111" s="1"/>
  <c r="X21" i="111"/>
  <c r="X32" i="111" s="1"/>
  <c r="W21" i="111"/>
  <c r="W32" i="111" s="1"/>
  <c r="V21" i="111"/>
  <c r="V32" i="111" s="1"/>
  <c r="U21" i="111"/>
  <c r="U32" i="111" s="1"/>
  <c r="T21" i="111"/>
  <c r="T32" i="111" s="1"/>
  <c r="S21" i="111"/>
  <c r="S32" i="111" s="1"/>
  <c r="R21" i="111"/>
  <c r="R32" i="111" s="1"/>
  <c r="Q21" i="111"/>
  <c r="Q32" i="111" s="1"/>
  <c r="P21" i="111"/>
  <c r="P32" i="111" s="1"/>
  <c r="O21" i="111"/>
  <c r="O32" i="111" s="1"/>
  <c r="N21" i="111"/>
  <c r="N32" i="111" s="1"/>
  <c r="M21" i="111"/>
  <c r="M32" i="111" s="1"/>
  <c r="L21" i="111"/>
  <c r="L32" i="111" s="1"/>
  <c r="K21" i="111"/>
  <c r="K32" i="111" s="1"/>
  <c r="J21" i="111"/>
  <c r="J32" i="111" s="1"/>
  <c r="I21" i="111"/>
  <c r="I32" i="111" s="1"/>
  <c r="H21" i="111"/>
  <c r="H32" i="111" s="1"/>
  <c r="G21" i="111"/>
  <c r="G32" i="111" s="1"/>
  <c r="F21" i="111"/>
  <c r="F32" i="111" s="1"/>
  <c r="E21" i="111"/>
  <c r="E32" i="111" s="1"/>
  <c r="AN14" i="111"/>
  <c r="AN16" i="111" s="1"/>
  <c r="AM14" i="111"/>
  <c r="AM16" i="111" s="1"/>
  <c r="AL14" i="111"/>
  <c r="AL16" i="111" s="1"/>
  <c r="AK14" i="111"/>
  <c r="AK16" i="111" s="1"/>
  <c r="AJ14" i="111"/>
  <c r="AJ16" i="111" s="1"/>
  <c r="AI14" i="111"/>
  <c r="AI16" i="111" s="1"/>
  <c r="AH14" i="111"/>
  <c r="AH16" i="111" s="1"/>
  <c r="AG14" i="111"/>
  <c r="AG16" i="111" s="1"/>
  <c r="AF14" i="111"/>
  <c r="AF16" i="111" s="1"/>
  <c r="AE14" i="111"/>
  <c r="AE16" i="111" s="1"/>
  <c r="AD14" i="111"/>
  <c r="AD16" i="111" s="1"/>
  <c r="AC14" i="111"/>
  <c r="AC16" i="111" s="1"/>
  <c r="AB14" i="111"/>
  <c r="AB16" i="111" s="1"/>
  <c r="AA14" i="111"/>
  <c r="AA16" i="111" s="1"/>
  <c r="Z14" i="111"/>
  <c r="Z16" i="111" s="1"/>
  <c r="Y14" i="111"/>
  <c r="Y16" i="111" s="1"/>
  <c r="X14" i="111"/>
  <c r="X16" i="111" s="1"/>
  <c r="W14" i="111"/>
  <c r="W16" i="111" s="1"/>
  <c r="V14" i="111"/>
  <c r="V16" i="111" s="1"/>
  <c r="U14" i="111"/>
  <c r="U16" i="111" s="1"/>
  <c r="T14" i="111"/>
  <c r="T16" i="111" s="1"/>
  <c r="S14" i="111"/>
  <c r="S16" i="111" s="1"/>
  <c r="R14" i="111"/>
  <c r="R16" i="111" s="1"/>
  <c r="Q14" i="111"/>
  <c r="Q16" i="111" s="1"/>
  <c r="P14" i="111"/>
  <c r="P16" i="111" s="1"/>
  <c r="O14" i="111"/>
  <c r="O16" i="111" s="1"/>
  <c r="N14" i="111"/>
  <c r="N16" i="111" s="1"/>
  <c r="M14" i="111"/>
  <c r="M16" i="111" s="1"/>
  <c r="L14" i="111"/>
  <c r="L16" i="111" s="1"/>
  <c r="K14" i="111"/>
  <c r="K16" i="111" s="1"/>
  <c r="J14" i="111"/>
  <c r="J16" i="111" s="1"/>
  <c r="I14" i="111"/>
  <c r="I16" i="111" s="1"/>
  <c r="H14" i="111"/>
  <c r="H16" i="111" s="1"/>
  <c r="G14" i="111"/>
  <c r="G16" i="111" s="1"/>
  <c r="F14" i="111"/>
  <c r="F16" i="111" s="1"/>
  <c r="E14" i="111"/>
  <c r="E16" i="111" s="1"/>
  <c r="H32" i="107" l="1"/>
  <c r="L32" i="107"/>
  <c r="P32" i="107"/>
  <c r="T32" i="107"/>
  <c r="E32" i="107"/>
  <c r="E34" i="107" s="1"/>
  <c r="I32" i="107"/>
  <c r="M32" i="107"/>
  <c r="Q32" i="107"/>
  <c r="Q34" i="107" s="1"/>
  <c r="U32" i="107"/>
  <c r="G32" i="107"/>
  <c r="K32" i="107"/>
  <c r="O32" i="107"/>
  <c r="S32" i="107"/>
  <c r="S34" i="107" s="1"/>
  <c r="F34" i="107"/>
  <c r="G34" i="107"/>
  <c r="H34" i="107"/>
  <c r="I34" i="107"/>
  <c r="J34" i="107"/>
  <c r="K34" i="107"/>
  <c r="L34" i="107"/>
  <c r="M34" i="107"/>
  <c r="N34" i="107"/>
  <c r="O34" i="107"/>
  <c r="P34" i="107"/>
  <c r="R34" i="107"/>
  <c r="T34" i="107"/>
  <c r="U34" i="107"/>
  <c r="V34" i="107"/>
  <c r="E34" i="111"/>
  <c r="F34" i="111"/>
  <c r="G34" i="111"/>
  <c r="H34" i="111"/>
  <c r="I34" i="111"/>
  <c r="J34" i="111"/>
  <c r="K34" i="111"/>
  <c r="L34" i="111"/>
  <c r="M34" i="111"/>
  <c r="N34" i="111"/>
  <c r="O34" i="111"/>
  <c r="P34" i="111"/>
  <c r="Q34" i="111"/>
  <c r="R34" i="111"/>
  <c r="S34" i="111"/>
  <c r="T34" i="111"/>
  <c r="U34" i="111"/>
  <c r="V34" i="111"/>
  <c r="W34" i="111"/>
  <c r="X34" i="111"/>
  <c r="Y34" i="111"/>
  <c r="Z34" i="111"/>
  <c r="AA34" i="111"/>
  <c r="AB34" i="111"/>
  <c r="AC34" i="111"/>
  <c r="AD34" i="111"/>
  <c r="AE34" i="111"/>
  <c r="AF34" i="111"/>
  <c r="AG34" i="111"/>
  <c r="AH34" i="111"/>
  <c r="AI34" i="111"/>
  <c r="AJ34" i="111"/>
  <c r="AK34" i="111"/>
  <c r="AL34" i="111"/>
  <c r="AM34" i="111"/>
  <c r="AN34" i="111"/>
  <c r="I13" i="110" l="1"/>
  <c r="I15" i="110"/>
  <c r="H15" i="110" s="1"/>
  <c r="K13" i="110"/>
  <c r="J13" i="110" s="1"/>
  <c r="K15" i="110"/>
  <c r="J15" i="110" s="1"/>
  <c r="J29" i="106"/>
  <c r="L15" i="58" s="1"/>
  <c r="H29" i="106"/>
  <c r="F29" i="106"/>
  <c r="E29" i="106"/>
  <c r="B10" i="106"/>
  <c r="B11" i="106" s="1"/>
  <c r="B12" i="106" s="1"/>
  <c r="B13" i="106" s="1"/>
  <c r="B14" i="106" s="1"/>
  <c r="B15" i="106" s="1"/>
  <c r="B16" i="106" s="1"/>
  <c r="B17" i="106" s="1"/>
  <c r="B18" i="106" s="1"/>
  <c r="B19" i="106" s="1"/>
  <c r="B20" i="106" s="1"/>
  <c r="B21" i="106" s="1"/>
  <c r="B22" i="106" s="1"/>
  <c r="B23" i="106" s="1"/>
  <c r="B24" i="106" s="1"/>
  <c r="B25" i="106" s="1"/>
  <c r="B26" i="106" s="1"/>
  <c r="B27" i="106" s="1"/>
  <c r="J14" i="110"/>
  <c r="H14" i="110"/>
  <c r="F11" i="110" l="1"/>
  <c r="F10" i="110"/>
  <c r="G14" i="110"/>
  <c r="F12" i="110"/>
  <c r="F9" i="110" l="1"/>
  <c r="G19" i="58"/>
  <c r="F19" i="58" s="1"/>
  <c r="H11" i="58"/>
  <c r="G11" i="58" s="1"/>
  <c r="E13" i="104"/>
  <c r="F18" i="104"/>
  <c r="F12" i="93"/>
  <c r="F11" i="93"/>
  <c r="F19" i="110" l="1"/>
  <c r="F17" i="110"/>
  <c r="F18" i="110"/>
  <c r="L11" i="58"/>
  <c r="D13" i="93" l="1"/>
  <c r="F10" i="58" l="1"/>
  <c r="I19" i="110" l="1"/>
  <c r="I18" i="110"/>
  <c r="H11" i="104" s="1"/>
  <c r="I17" i="110"/>
  <c r="E9" i="104"/>
  <c r="K13" i="66"/>
  <c r="I13" i="66"/>
  <c r="H9" i="104" l="1"/>
  <c r="H10" i="104"/>
  <c r="F10" i="105"/>
  <c r="F11" i="105" s="1"/>
  <c r="G10" i="105"/>
  <c r="G11" i="105" s="1"/>
  <c r="H10" i="105"/>
  <c r="H11" i="105" s="1"/>
  <c r="I10" i="105"/>
  <c r="I11" i="105" s="1"/>
  <c r="J10" i="105"/>
  <c r="J11" i="105" s="1"/>
  <c r="E10" i="105"/>
  <c r="E11" i="105" s="1"/>
  <c r="E9" i="105" l="1"/>
  <c r="D20" i="69"/>
  <c r="F14" i="103"/>
  <c r="G14" i="103"/>
  <c r="I14" i="103"/>
  <c r="E14" i="103"/>
  <c r="F13" i="103"/>
  <c r="G13" i="103"/>
  <c r="H13" i="103"/>
  <c r="I13" i="103"/>
  <c r="J13" i="103"/>
  <c r="E13" i="103"/>
  <c r="E10" i="103"/>
  <c r="E9" i="103"/>
  <c r="H19" i="58" l="1"/>
  <c r="I13" i="93"/>
  <c r="K12" i="58"/>
  <c r="K14" i="58" l="1"/>
  <c r="K10" i="58"/>
  <c r="K13" i="58"/>
  <c r="G15" i="58" l="1"/>
  <c r="H15" i="58" s="1"/>
  <c r="K15" i="58"/>
  <c r="D25" i="106"/>
  <c r="K16" i="58" l="1"/>
  <c r="I17" i="105"/>
  <c r="M11" i="102" l="1"/>
  <c r="J28" i="102" s="1"/>
  <c r="M12" i="102"/>
  <c r="J29" i="102" s="1"/>
  <c r="M15" i="102"/>
  <c r="M16" i="102"/>
  <c r="M17" i="102"/>
  <c r="M18" i="102"/>
  <c r="M19" i="102"/>
  <c r="M20" i="102"/>
  <c r="M21" i="102"/>
  <c r="M10" i="102"/>
  <c r="M14" i="102"/>
  <c r="J27" i="102" l="1"/>
  <c r="M27" i="102" s="1"/>
  <c r="M29" i="102"/>
  <c r="J46" i="102" s="1"/>
  <c r="M46" i="102" s="1"/>
  <c r="J33" i="102"/>
  <c r="J35" i="102"/>
  <c r="M35" i="102" s="1"/>
  <c r="J37" i="102"/>
  <c r="M37" i="102" s="1"/>
  <c r="J31" i="102"/>
  <c r="J38" i="102"/>
  <c r="M38" i="102" s="1"/>
  <c r="J36" i="102"/>
  <c r="M36" i="102" s="1"/>
  <c r="J34" i="102"/>
  <c r="M28" i="102"/>
  <c r="J45" i="102" s="1"/>
  <c r="J32" i="102"/>
  <c r="N13" i="102"/>
  <c r="I13" i="102"/>
  <c r="F30" i="102" s="1"/>
  <c r="N21" i="102"/>
  <c r="I21" i="102"/>
  <c r="F38" i="102" s="1"/>
  <c r="N38" i="102" s="1"/>
  <c r="N20" i="102"/>
  <c r="I20" i="102"/>
  <c r="F37" i="102" s="1"/>
  <c r="N19" i="102"/>
  <c r="I19" i="102"/>
  <c r="F36" i="102" s="1"/>
  <c r="N18" i="102"/>
  <c r="I18" i="102"/>
  <c r="F35" i="102" s="1"/>
  <c r="N17" i="102"/>
  <c r="I17" i="102"/>
  <c r="F34" i="102" s="1"/>
  <c r="N16" i="102"/>
  <c r="I16" i="102"/>
  <c r="F33" i="102" s="1"/>
  <c r="N15" i="102"/>
  <c r="I15" i="102"/>
  <c r="F32" i="102" s="1"/>
  <c r="N32" i="102" s="1"/>
  <c r="N14" i="102"/>
  <c r="N12" i="102"/>
  <c r="I12" i="102"/>
  <c r="N11" i="102"/>
  <c r="I11" i="102"/>
  <c r="N10" i="102"/>
  <c r="I10" i="102"/>
  <c r="N33" i="102" l="1"/>
  <c r="N35" i="102"/>
  <c r="N37" i="102"/>
  <c r="N34" i="102"/>
  <c r="N36" i="102"/>
  <c r="N22" i="102"/>
  <c r="M45" i="102"/>
  <c r="M32" i="102"/>
  <c r="J49" i="102" s="1"/>
  <c r="M49" i="102" s="1"/>
  <c r="M34" i="102"/>
  <c r="J51" i="102" s="1"/>
  <c r="M51" i="102" s="1"/>
  <c r="M31" i="102"/>
  <c r="J48" i="102" s="1"/>
  <c r="M48" i="102" s="1"/>
  <c r="J44" i="102"/>
  <c r="M33" i="102"/>
  <c r="J50" i="102" s="1"/>
  <c r="M50" i="102" s="1"/>
  <c r="F27" i="102"/>
  <c r="O11" i="102"/>
  <c r="F28" i="102"/>
  <c r="N28" i="102" s="1"/>
  <c r="O12" i="102"/>
  <c r="F29" i="102"/>
  <c r="N29" i="102" s="1"/>
  <c r="O15" i="102"/>
  <c r="O16" i="102"/>
  <c r="O17" i="102"/>
  <c r="O18" i="102"/>
  <c r="O19" i="102"/>
  <c r="O20" i="102"/>
  <c r="O21" i="102"/>
  <c r="J52" i="102"/>
  <c r="M52" i="102" s="1"/>
  <c r="O10" i="102"/>
  <c r="M13" i="102"/>
  <c r="M22" i="102" l="1"/>
  <c r="M44" i="102"/>
  <c r="J30" i="102"/>
  <c r="J39" i="102" s="1"/>
  <c r="I36" i="102"/>
  <c r="I34" i="102"/>
  <c r="O34" i="102" s="1"/>
  <c r="I33" i="102"/>
  <c r="O33" i="102" s="1"/>
  <c r="I32" i="102"/>
  <c r="O32" i="102" s="1"/>
  <c r="I30" i="102"/>
  <c r="I29" i="102"/>
  <c r="O29" i="102" s="1"/>
  <c r="I28" i="102"/>
  <c r="O28" i="102" s="1"/>
  <c r="N27" i="102"/>
  <c r="I27" i="102"/>
  <c r="O13" i="102"/>
  <c r="H10" i="103" l="1"/>
  <c r="F44" i="102"/>
  <c r="I44" i="102" s="1"/>
  <c r="F53" i="102"/>
  <c r="I53" i="102" s="1"/>
  <c r="O36" i="102"/>
  <c r="M30" i="102"/>
  <c r="N30" i="102"/>
  <c r="F45" i="102"/>
  <c r="F46" i="102"/>
  <c r="N46" i="102" s="1"/>
  <c r="F47" i="102"/>
  <c r="F49" i="102"/>
  <c r="N49" i="102" s="1"/>
  <c r="F50" i="102"/>
  <c r="N50" i="102" s="1"/>
  <c r="F51" i="102"/>
  <c r="N51" i="102" s="1"/>
  <c r="O27" i="102"/>
  <c r="I35" i="102"/>
  <c r="M39" i="102" l="1"/>
  <c r="N44" i="102"/>
  <c r="N45" i="102"/>
  <c r="F52" i="102"/>
  <c r="N52" i="102" s="1"/>
  <c r="O35" i="102"/>
  <c r="O44" i="102"/>
  <c r="J47" i="102"/>
  <c r="O30" i="102"/>
  <c r="J53" i="102"/>
  <c r="I51" i="102"/>
  <c r="O51" i="102" s="1"/>
  <c r="I50" i="102"/>
  <c r="O50" i="102" s="1"/>
  <c r="I49" i="102"/>
  <c r="O49" i="102" s="1"/>
  <c r="I47" i="102"/>
  <c r="I46" i="102"/>
  <c r="O46" i="102" s="1"/>
  <c r="I45" i="102"/>
  <c r="I52" i="102" l="1"/>
  <c r="O52" i="102" s="1"/>
  <c r="O45" i="102"/>
  <c r="M53" i="102"/>
  <c r="O53" i="102" s="1"/>
  <c r="N53" i="102"/>
  <c r="M47" i="102"/>
  <c r="N47" i="102"/>
  <c r="O47" i="102" l="1"/>
  <c r="E15" i="110"/>
  <c r="E13" i="110"/>
  <c r="E18" i="110" s="1"/>
  <c r="K10" i="110"/>
  <c r="K11" i="110"/>
  <c r="K12" i="110"/>
  <c r="H11" i="110"/>
  <c r="J12" i="110"/>
  <c r="H13" i="110"/>
  <c r="I16" i="110"/>
  <c r="H16" i="110" s="1"/>
  <c r="J16" i="110" s="1"/>
  <c r="E19" i="110" l="1"/>
  <c r="E17" i="110"/>
  <c r="H18" i="110"/>
  <c r="H19" i="110"/>
  <c r="H17" i="110"/>
  <c r="K19" i="110"/>
  <c r="K18" i="110"/>
  <c r="J11" i="104" s="1"/>
  <c r="K17" i="110"/>
  <c r="K16" i="110"/>
  <c r="J11" i="110"/>
  <c r="E16" i="110"/>
  <c r="J10" i="110"/>
  <c r="F26" i="67"/>
  <c r="F34" i="67" s="1"/>
  <c r="F36" i="67" s="1"/>
  <c r="E26" i="67"/>
  <c r="E34" i="67" s="1"/>
  <c r="E36" i="67" s="1"/>
  <c r="D26" i="67"/>
  <c r="D34" i="67" s="1"/>
  <c r="D36" i="67" s="1"/>
  <c r="I11" i="66" l="1"/>
  <c r="K11" i="66"/>
  <c r="J18" i="110"/>
  <c r="H16" i="104" s="1"/>
  <c r="J9" i="104"/>
  <c r="J10" i="104"/>
  <c r="J19" i="110"/>
  <c r="J17" i="110"/>
  <c r="F9" i="104"/>
  <c r="F16" i="110"/>
  <c r="G16" i="110" s="1"/>
  <c r="G12" i="110"/>
  <c r="G11" i="110"/>
  <c r="G10" i="110"/>
  <c r="G9" i="110"/>
  <c r="G13" i="110"/>
  <c r="G15" i="110"/>
  <c r="G11" i="103"/>
  <c r="E15" i="109"/>
  <c r="G19" i="110" l="1"/>
  <c r="G17" i="110"/>
  <c r="E10" i="104" s="1"/>
  <c r="G18" i="110"/>
  <c r="E11" i="104" s="1"/>
  <c r="J16" i="104"/>
  <c r="K18" i="58"/>
  <c r="K20" i="58" s="1"/>
  <c r="K21" i="58" s="1"/>
  <c r="D11" i="105"/>
  <c r="F10" i="104" l="1"/>
  <c r="E16" i="104"/>
  <c r="F16" i="104" s="1"/>
  <c r="F11" i="104"/>
  <c r="I17" i="104"/>
  <c r="D15" i="109"/>
  <c r="D52" i="103"/>
  <c r="D13" i="105"/>
  <c r="D11" i="103"/>
  <c r="D19" i="103" l="1"/>
  <c r="F11" i="66" l="1"/>
  <c r="G11" i="66" s="1"/>
  <c r="F36" i="68"/>
  <c r="F38" i="68" s="1"/>
  <c r="E36" i="68"/>
  <c r="E38" i="68" s="1"/>
  <c r="D36" i="68"/>
  <c r="D38" i="68" s="1"/>
  <c r="F13" i="66"/>
  <c r="G13" i="66" s="1"/>
  <c r="G13" i="93"/>
  <c r="F15" i="109"/>
  <c r="F59" i="103"/>
  <c r="E59" i="103"/>
  <c r="D59" i="103"/>
  <c r="F54" i="103"/>
  <c r="E54" i="103"/>
  <c r="D54" i="103"/>
  <c r="F53" i="103"/>
  <c r="E53" i="103"/>
  <c r="D53" i="103"/>
  <c r="F52" i="103"/>
  <c r="E52" i="103"/>
  <c r="F44" i="103"/>
  <c r="F45" i="103" s="1"/>
  <c r="F47" i="103" s="1"/>
  <c r="F49" i="103" s="1"/>
  <c r="E44" i="103"/>
  <c r="E45" i="103" s="1"/>
  <c r="E47" i="103" s="1"/>
  <c r="E49" i="103" s="1"/>
  <c r="D44" i="103"/>
  <c r="F34" i="103"/>
  <c r="F35" i="103" s="1"/>
  <c r="F37" i="103" s="1"/>
  <c r="E34" i="103"/>
  <c r="E35" i="103" s="1"/>
  <c r="E37" i="103" s="1"/>
  <c r="D34" i="103"/>
  <c r="D35" i="103" s="1"/>
  <c r="D37" i="103" s="1"/>
  <c r="D39" i="103" s="1"/>
  <c r="D17" i="105"/>
  <c r="J17" i="105"/>
  <c r="H17" i="105"/>
  <c r="G17" i="105"/>
  <c r="F17" i="105"/>
  <c r="E17" i="105"/>
  <c r="G13" i="105"/>
  <c r="I12" i="66" l="1"/>
  <c r="I14" i="66" s="1"/>
  <c r="H12" i="104" s="1"/>
  <c r="K12" i="66"/>
  <c r="K14" i="66" s="1"/>
  <c r="J12" i="104" s="1"/>
  <c r="F12" i="66"/>
  <c r="G12" i="66" s="1"/>
  <c r="G14" i="66" s="1"/>
  <c r="F12" i="104" s="1"/>
  <c r="F10" i="103"/>
  <c r="F9" i="105"/>
  <c r="F19" i="105" s="1"/>
  <c r="D45" i="103"/>
  <c r="D47" i="103" s="1"/>
  <c r="F55" i="103"/>
  <c r="D18" i="109"/>
  <c r="D21" i="109" s="1"/>
  <c r="F9" i="109"/>
  <c r="F18" i="109" s="1"/>
  <c r="F21" i="109" s="1"/>
  <c r="D19" i="105"/>
  <c r="D20" i="105" s="1"/>
  <c r="E18" i="109"/>
  <c r="E21" i="109" s="1"/>
  <c r="I10" i="58"/>
  <c r="F56" i="103"/>
  <c r="E55" i="103"/>
  <c r="E56" i="103" s="1"/>
  <c r="F58" i="103"/>
  <c r="F39" i="103"/>
  <c r="E39" i="103"/>
  <c r="E58" i="103"/>
  <c r="D55" i="103"/>
  <c r="D56" i="103" s="1"/>
  <c r="F12" i="58"/>
  <c r="G19" i="103"/>
  <c r="I12" i="58" s="1"/>
  <c r="G19" i="105"/>
  <c r="F14" i="66" l="1"/>
  <c r="E12" i="104" s="1"/>
  <c r="E19" i="105"/>
  <c r="F57" i="103"/>
  <c r="I37" i="102"/>
  <c r="I38" i="102"/>
  <c r="F9" i="103"/>
  <c r="F11" i="103" s="1"/>
  <c r="E11" i="103"/>
  <c r="F13" i="93"/>
  <c r="H9" i="103"/>
  <c r="J10" i="58"/>
  <c r="H10" i="58"/>
  <c r="D49" i="103"/>
  <c r="D58" i="103"/>
  <c r="D57" i="103" s="1"/>
  <c r="F18" i="103" s="1"/>
  <c r="E57" i="103"/>
  <c r="E13" i="93"/>
  <c r="H10" i="93" s="1"/>
  <c r="H13" i="93" s="1"/>
  <c r="J10" i="93" s="1"/>
  <c r="J13" i="93" s="1"/>
  <c r="E13" i="105"/>
  <c r="H9" i="105" s="1"/>
  <c r="F13" i="105"/>
  <c r="F20" i="105" s="1"/>
  <c r="F21" i="105" s="1"/>
  <c r="H14" i="58" s="1"/>
  <c r="D21" i="69"/>
  <c r="L10" i="58"/>
  <c r="E60" i="103"/>
  <c r="F60" i="103"/>
  <c r="G20" i="105"/>
  <c r="I14" i="58" s="1"/>
  <c r="F14" i="58"/>
  <c r="G10" i="58" l="1"/>
  <c r="F55" i="102"/>
  <c r="O38" i="102"/>
  <c r="F54" i="102"/>
  <c r="I54" i="102" s="1"/>
  <c r="O37" i="102"/>
  <c r="I55" i="102"/>
  <c r="I14" i="102"/>
  <c r="E20" i="105"/>
  <c r="E21" i="105" s="1"/>
  <c r="G14" i="58" s="1"/>
  <c r="J9" i="103"/>
  <c r="H11" i="103"/>
  <c r="H19" i="105"/>
  <c r="H13" i="105"/>
  <c r="D60" i="103"/>
  <c r="I22" i="102" l="1"/>
  <c r="E22" i="102" s="1"/>
  <c r="F31" i="102"/>
  <c r="F39" i="102" s="1"/>
  <c r="O14" i="102"/>
  <c r="J54" i="102"/>
  <c r="J9" i="105"/>
  <c r="H20" i="105"/>
  <c r="O22" i="102" l="1"/>
  <c r="H13" i="104"/>
  <c r="M54" i="102"/>
  <c r="N54" i="102"/>
  <c r="N31" i="102"/>
  <c r="J55" i="102"/>
  <c r="J56" i="102" s="1"/>
  <c r="F13" i="104"/>
  <c r="H14" i="103"/>
  <c r="H16" i="103" s="1"/>
  <c r="E20" i="69"/>
  <c r="E21" i="69" s="1"/>
  <c r="I31" i="102"/>
  <c r="H21" i="105"/>
  <c r="J14" i="58" s="1"/>
  <c r="E15" i="103"/>
  <c r="E17" i="103" s="1"/>
  <c r="E19" i="103" s="1"/>
  <c r="E21" i="103" s="1"/>
  <c r="G12" i="58" s="1"/>
  <c r="E16" i="103"/>
  <c r="F16" i="103"/>
  <c r="F15" i="103"/>
  <c r="F17" i="103" s="1"/>
  <c r="F19" i="103" s="1"/>
  <c r="F21" i="103" s="1"/>
  <c r="H12" i="58" s="1"/>
  <c r="J19" i="105"/>
  <c r="J13" i="105"/>
  <c r="J15" i="58"/>
  <c r="I15" i="58"/>
  <c r="F15" i="58"/>
  <c r="L18" i="58"/>
  <c r="L20" i="58" s="1"/>
  <c r="J18" i="58"/>
  <c r="J20" i="58" s="1"/>
  <c r="I18" i="58"/>
  <c r="I20" i="58" s="1"/>
  <c r="H18" i="58"/>
  <c r="H20" i="58" s="1"/>
  <c r="F18" i="58"/>
  <c r="I39" i="102" l="1"/>
  <c r="N39" i="102"/>
  <c r="O31" i="102"/>
  <c r="M55" i="102"/>
  <c r="M56" i="102" s="1"/>
  <c r="N55" i="102"/>
  <c r="O54" i="102"/>
  <c r="H15" i="103"/>
  <c r="H17" i="103" s="1"/>
  <c r="H19" i="103" s="1"/>
  <c r="H21" i="103" s="1"/>
  <c r="J12" i="58" s="1"/>
  <c r="J10" i="103"/>
  <c r="J11" i="103" s="1"/>
  <c r="F48" i="102"/>
  <c r="F56" i="102" s="1"/>
  <c r="J20" i="105"/>
  <c r="J21" i="105" s="1"/>
  <c r="L14" i="58" s="1"/>
  <c r="G18" i="58"/>
  <c r="G20" i="58" s="1"/>
  <c r="F20" i="58"/>
  <c r="O39" i="102" l="1"/>
  <c r="O55" i="102"/>
  <c r="N48" i="102"/>
  <c r="N56" i="102" s="1"/>
  <c r="J13" i="104"/>
  <c r="I48" i="102"/>
  <c r="I56" i="102" s="1"/>
  <c r="F20" i="69"/>
  <c r="F21" i="69" s="1"/>
  <c r="E39" i="102"/>
  <c r="O48" i="102" l="1"/>
  <c r="O56" i="102" s="1"/>
  <c r="E56" i="102"/>
  <c r="J14" i="103"/>
  <c r="J15" i="103" s="1"/>
  <c r="J17" i="103" s="1"/>
  <c r="J19" i="103" s="1"/>
  <c r="J21" i="103" s="1"/>
  <c r="L12" i="58" s="1"/>
  <c r="B19" i="58"/>
  <c r="B20" i="58" s="1"/>
  <c r="J16" i="103" l="1"/>
  <c r="B10" i="105"/>
  <c r="B11" i="105" s="1"/>
  <c r="B12" i="105" s="1"/>
  <c r="B13" i="105" s="1"/>
  <c r="B15" i="105" s="1"/>
  <c r="B16" i="105" s="1"/>
  <c r="B17" i="105" s="1"/>
  <c r="B19" i="105" s="1"/>
  <c r="B10" i="104"/>
  <c r="B11" i="104" s="1"/>
  <c r="B12" i="104" s="1"/>
  <c r="B13" i="104" s="1"/>
  <c r="B14" i="104" s="1"/>
  <c r="B16" i="104" s="1"/>
  <c r="B17" i="104" s="1"/>
  <c r="B18" i="104" s="1"/>
  <c r="B19" i="104" s="1"/>
  <c r="B10" i="103"/>
  <c r="B11" i="103" s="1"/>
  <c r="B12" i="103" s="1"/>
  <c r="B13" i="103" s="1"/>
  <c r="B14" i="103" s="1"/>
  <c r="B15" i="103" s="1"/>
  <c r="B16" i="103" s="1"/>
  <c r="B17" i="103" s="1"/>
  <c r="B18" i="103" s="1"/>
  <c r="B19" i="103" s="1"/>
  <c r="B20" i="103" s="1"/>
  <c r="B21" i="103" s="1"/>
  <c r="B20" i="105" l="1"/>
  <c r="B21" i="105" s="1"/>
  <c r="B11" i="58"/>
  <c r="B12" i="58" s="1"/>
  <c r="B13" i="58" s="1"/>
  <c r="B14" i="58" s="1"/>
  <c r="B15" i="58" s="1"/>
  <c r="B16" i="58" s="1"/>
  <c r="B8" i="91" l="1"/>
  <c r="B9" i="91" s="1"/>
  <c r="B10" i="91" s="1"/>
  <c r="B11" i="91" s="1"/>
  <c r="B12" i="91" s="1"/>
  <c r="B13" i="91" s="1"/>
  <c r="B14" i="91" s="1"/>
  <c r="B15" i="91" s="1"/>
  <c r="B16" i="91" s="1"/>
  <c r="B17" i="91" s="1"/>
  <c r="B18" i="91" s="1"/>
  <c r="B19" i="91" s="1"/>
  <c r="B20" i="91" s="1"/>
  <c r="B21" i="91" s="1"/>
  <c r="B22" i="91" s="1"/>
  <c r="B23" i="91" s="1"/>
  <c r="B24" i="91" s="1"/>
  <c r="B25" i="91" s="1"/>
  <c r="B30" i="91" s="1"/>
  <c r="B31" i="91" s="1"/>
  <c r="B7" i="57" l="1"/>
  <c r="B8" i="57" s="1"/>
  <c r="B9" i="57" s="1"/>
  <c r="B10" i="57" s="1"/>
  <c r="B11" i="57" l="1"/>
  <c r="B12" i="57" s="1"/>
  <c r="B13" i="57" s="1"/>
  <c r="B12" i="66"/>
  <c r="B13" i="66" s="1"/>
  <c r="B14" i="66" s="1"/>
  <c r="B28" i="67"/>
  <c r="B29" i="67" s="1"/>
  <c r="B30" i="67" s="1"/>
  <c r="B31" i="67" s="1"/>
  <c r="B14" i="57" l="1"/>
  <c r="B15" i="57" s="1"/>
  <c r="B16" i="57" s="1"/>
  <c r="B17" i="57" s="1"/>
  <c r="B18" i="57" s="1"/>
  <c r="B19" i="57" s="1"/>
  <c r="B20" i="57" s="1"/>
  <c r="B21" i="57" l="1"/>
  <c r="B22" i="57" s="1"/>
  <c r="B23" i="57" s="1"/>
  <c r="B24" i="57" s="1"/>
  <c r="B25" i="57" s="1"/>
  <c r="B26" i="57" s="1"/>
  <c r="F13" i="58"/>
  <c r="I13" i="58"/>
  <c r="I16" i="58" l="1"/>
  <c r="I21" i="58" s="1"/>
  <c r="G17" i="104" s="1"/>
  <c r="F16" i="58"/>
  <c r="F21" i="58" s="1"/>
  <c r="D17" i="104" s="1"/>
  <c r="G13" i="58" l="1"/>
  <c r="H13" i="58"/>
  <c r="J13" i="58"/>
  <c r="L13" i="58"/>
  <c r="G16" i="58"/>
  <c r="H16" i="58"/>
  <c r="J16" i="58"/>
  <c r="L16" i="58"/>
  <c r="G21" i="58"/>
  <c r="H21" i="58"/>
  <c r="J21" i="58"/>
  <c r="L21" i="58"/>
  <c r="E14" i="104"/>
  <c r="F14" i="104"/>
  <c r="H14" i="104"/>
  <c r="J14" i="104"/>
  <c r="E17" i="104"/>
  <c r="F17" i="104"/>
  <c r="H17" i="104"/>
  <c r="J17" i="104"/>
  <c r="E19" i="104"/>
  <c r="F19" i="104"/>
  <c r="H19" i="104"/>
  <c r="J19" i="104"/>
</calcChain>
</file>

<file path=xl/sharedStrings.xml><?xml version="1.0" encoding="utf-8"?>
<sst xmlns="http://schemas.openxmlformats.org/spreadsheetml/2006/main" count="1183" uniqueCount="513">
  <si>
    <t>Equity</t>
  </si>
  <si>
    <t>Reference</t>
  </si>
  <si>
    <t>S.No.</t>
  </si>
  <si>
    <t>Actual</t>
  </si>
  <si>
    <t>(Rs. Crore)</t>
  </si>
  <si>
    <t>Estimated</t>
  </si>
  <si>
    <t>Form 1</t>
  </si>
  <si>
    <t>Title</t>
  </si>
  <si>
    <t>Projected</t>
  </si>
  <si>
    <t>…</t>
  </si>
  <si>
    <t>Approved</t>
  </si>
  <si>
    <t>Remarks</t>
  </si>
  <si>
    <t>Audited</t>
  </si>
  <si>
    <t>Opening Balance of Loan</t>
  </si>
  <si>
    <t>Loan Repayment during the year</t>
  </si>
  <si>
    <t>Closing Balance of Loan</t>
  </si>
  <si>
    <t>Applicable Interest Rate (%)</t>
  </si>
  <si>
    <t>Less: Expenses Capitalised</t>
  </si>
  <si>
    <t>Particulars</t>
  </si>
  <si>
    <t>Equity portion of capitalisation during the year</t>
  </si>
  <si>
    <t>Reduction in Equity Capital on account of retirement / replacement of assets</t>
  </si>
  <si>
    <t>Regulatory Equity at the end of the year</t>
  </si>
  <si>
    <t>Form 3</t>
  </si>
  <si>
    <t>Form 4</t>
  </si>
  <si>
    <t>Form 2.1</t>
  </si>
  <si>
    <t>Form 2.2</t>
  </si>
  <si>
    <t>Planned &amp; Forced Outages</t>
  </si>
  <si>
    <t>Form 3.1</t>
  </si>
  <si>
    <t>Form 3.2</t>
  </si>
  <si>
    <t>Form 5</t>
  </si>
  <si>
    <t>Form 6</t>
  </si>
  <si>
    <t>Form 7</t>
  </si>
  <si>
    <t>Form 8</t>
  </si>
  <si>
    <t>Form 9</t>
  </si>
  <si>
    <t>Form 10</t>
  </si>
  <si>
    <t>Form 11</t>
  </si>
  <si>
    <t>Operation &amp; Maintenance Expenses</t>
  </si>
  <si>
    <t>Interest on Working Capital</t>
  </si>
  <si>
    <t>Less: Non-Tariff Income</t>
  </si>
  <si>
    <t>Units</t>
  </si>
  <si>
    <t>MW</t>
  </si>
  <si>
    <t>Target Availability for full recovery of AFC</t>
  </si>
  <si>
    <t>%</t>
  </si>
  <si>
    <t>Target PLF for Incentive</t>
  </si>
  <si>
    <t>Scheduled Generation</t>
  </si>
  <si>
    <t>MU</t>
  </si>
  <si>
    <t>Normative Auxiliary Energy Consumption</t>
  </si>
  <si>
    <t>Net Generation</t>
  </si>
  <si>
    <t>Normative Gross Station Heat Rate</t>
  </si>
  <si>
    <t>kcal/kWh</t>
  </si>
  <si>
    <t>Normative Secondary Fuel Oil Consumption</t>
  </si>
  <si>
    <t>ml/kWh</t>
  </si>
  <si>
    <t>Normative Transit Loss</t>
  </si>
  <si>
    <t>Transit Loss</t>
  </si>
  <si>
    <t xml:space="preserve">Note: </t>
  </si>
  <si>
    <t>Total Working Capital requirement</t>
  </si>
  <si>
    <t>Gross Generation</t>
  </si>
  <si>
    <t>A.</t>
  </si>
  <si>
    <t>Planned Outages</t>
  </si>
  <si>
    <t>No of days of outage</t>
  </si>
  <si>
    <t>Period of Outage</t>
  </si>
  <si>
    <t>Reasons for Outage</t>
  </si>
  <si>
    <t>B.</t>
  </si>
  <si>
    <t>Forced Outages</t>
  </si>
  <si>
    <t xml:space="preserve">Reasons for Outage </t>
  </si>
  <si>
    <t>……</t>
  </si>
  <si>
    <t>…….</t>
  </si>
  <si>
    <t>A</t>
  </si>
  <si>
    <t>A. For Existing Generating Stations</t>
  </si>
  <si>
    <t xml:space="preserve">Employee Expenses </t>
  </si>
  <si>
    <t>Total O&amp;M Expenses</t>
  </si>
  <si>
    <t>B</t>
  </si>
  <si>
    <t>C</t>
  </si>
  <si>
    <t>Basic Salary</t>
  </si>
  <si>
    <t>Dearness Allowance (DA)</t>
  </si>
  <si>
    <t>House Rent Allowance</t>
  </si>
  <si>
    <t>Conveyance Allowance</t>
  </si>
  <si>
    <t>Leave Travel Allowance</t>
  </si>
  <si>
    <t>Earned Leave Encashment</t>
  </si>
  <si>
    <t>Other Allowances</t>
  </si>
  <si>
    <t>Medical Reimbursement</t>
  </si>
  <si>
    <t>Overtime Payment</t>
  </si>
  <si>
    <t>Bonus/Ex-Gratia Payments</t>
  </si>
  <si>
    <t xml:space="preserve">Interim Relief / Wage Revision </t>
  </si>
  <si>
    <t>Staff welfare expenses</t>
  </si>
  <si>
    <t>VRS Expenses/Retrenchment Compensation</t>
  </si>
  <si>
    <t>Commission to Directors</t>
  </si>
  <si>
    <t>Training Expenses</t>
  </si>
  <si>
    <t>Payment under Workmen's Compensation Act</t>
  </si>
  <si>
    <t>Net Employee Costs</t>
  </si>
  <si>
    <t>Terminal Benefits</t>
  </si>
  <si>
    <t>Provident Fund Contribution</t>
  </si>
  <si>
    <t>Provision for PF Fund</t>
  </si>
  <si>
    <t>Pension Payments</t>
  </si>
  <si>
    <t>Gratuity Payment</t>
  </si>
  <si>
    <t>Others</t>
  </si>
  <si>
    <t xml:space="preserve">Gross Employee Expenses </t>
  </si>
  <si>
    <t xml:space="preserve">Net Employee Expenses </t>
  </si>
  <si>
    <t>Rent Rates &amp; Taxes</t>
  </si>
  <si>
    <t>Insurance</t>
  </si>
  <si>
    <t>Telephone &amp; Postage, etc.</t>
  </si>
  <si>
    <t>Legal charges &amp; Audit fee</t>
  </si>
  <si>
    <t>Professional, Consultancy, Technical fee</t>
  </si>
  <si>
    <t>Conveyance &amp; Travel</t>
  </si>
  <si>
    <t>Electricity charges</t>
  </si>
  <si>
    <t>Water charges</t>
  </si>
  <si>
    <t>Security arrangements</t>
  </si>
  <si>
    <t>Fees &amp; subscription</t>
  </si>
  <si>
    <t>Books &amp; periodicals</t>
  </si>
  <si>
    <t>Computer Stationery</t>
  </si>
  <si>
    <t>Printing &amp; Stationery</t>
  </si>
  <si>
    <t xml:space="preserve">Advertisements </t>
  </si>
  <si>
    <t>Purchase Related Advertisement Expenses</t>
  </si>
  <si>
    <t>Contribution/Donations</t>
  </si>
  <si>
    <t>License Fee  and other related fee</t>
  </si>
  <si>
    <t>Vehicle Running Expenses Truck / Delivery Van</t>
  </si>
  <si>
    <t>Vehicle Hiring Expenses Truck / Delivery Van</t>
  </si>
  <si>
    <t>Cost of services procured</t>
  </si>
  <si>
    <t>Outsourcing of metering and billing system</t>
  </si>
  <si>
    <t>Freight On Capital Equipments</t>
  </si>
  <si>
    <t>V-sat, Internet and related charges</t>
  </si>
  <si>
    <t>Training</t>
  </si>
  <si>
    <t>Bank Charges</t>
  </si>
  <si>
    <t>Miscellaneous Expenses</t>
  </si>
  <si>
    <t>Office Expenses</t>
  </si>
  <si>
    <t>Gross A &amp;G Expenses</t>
  </si>
  <si>
    <t xml:space="preserve">Net A &amp;G Expenses </t>
  </si>
  <si>
    <t>Plant &amp; Machinery</t>
  </si>
  <si>
    <t>Buildings</t>
  </si>
  <si>
    <t>Civil Works</t>
  </si>
  <si>
    <t>Hydraulic Works</t>
  </si>
  <si>
    <t>Lines &amp; Cable Networks</t>
  </si>
  <si>
    <t>Vehicles</t>
  </si>
  <si>
    <t>Furniture &amp; Fixtures</t>
  </si>
  <si>
    <t>Office Equipment</t>
  </si>
  <si>
    <t>Gross R&amp;M Expenses</t>
  </si>
  <si>
    <t>Gross Fixed Assets at beginning of year</t>
  </si>
  <si>
    <t>R&amp;M Expenses as % of GFA at beginning of year</t>
  </si>
  <si>
    <t>Additions during the year</t>
  </si>
  <si>
    <t>Total</t>
  </si>
  <si>
    <t>(MU)</t>
  </si>
  <si>
    <t>Apr</t>
  </si>
  <si>
    <t>May</t>
  </si>
  <si>
    <t>Jun</t>
  </si>
  <si>
    <t>Jul</t>
  </si>
  <si>
    <t>Aug</t>
  </si>
  <si>
    <t>Sep</t>
  </si>
  <si>
    <t>Oct</t>
  </si>
  <si>
    <t>Nov</t>
  </si>
  <si>
    <t>Dec</t>
  </si>
  <si>
    <t>Jan</t>
  </si>
  <si>
    <t>Feb</t>
  </si>
  <si>
    <t>Mar</t>
  </si>
  <si>
    <t>Actuals</t>
  </si>
  <si>
    <t xml:space="preserve"> Total</t>
  </si>
  <si>
    <t>Revenue from sale of electricity</t>
  </si>
  <si>
    <t>Non-Tariff Income</t>
  </si>
  <si>
    <t>Actual/Projected Availability</t>
  </si>
  <si>
    <t>Actual/Projected PLF</t>
  </si>
  <si>
    <t>Actual/Projected Gross Generation</t>
  </si>
  <si>
    <t>Actual/Projected Auxiliary Energy Consumption</t>
  </si>
  <si>
    <t>Actual/Projected Gross Station Heat Rate</t>
  </si>
  <si>
    <t>Actual/Projected Secondary Fuel Oil Consumption</t>
  </si>
  <si>
    <t>Actual/Projected Transit Loss</t>
  </si>
  <si>
    <t>Form 12</t>
  </si>
  <si>
    <t>Unit 1 / Station 1</t>
  </si>
  <si>
    <t>Unit 2 / Station 2</t>
  </si>
  <si>
    <t xml:space="preserve">Depreciation </t>
  </si>
  <si>
    <t>Addition of Loan during the year</t>
  </si>
  <si>
    <t>Form 13</t>
  </si>
  <si>
    <t>Total Revenue</t>
  </si>
  <si>
    <t>Auxiliary Consumption</t>
  </si>
  <si>
    <t>Normative Availability (%)</t>
  </si>
  <si>
    <t>Availability</t>
  </si>
  <si>
    <t>Plant Load Factor (PLF)</t>
  </si>
  <si>
    <t>Secondary Fuel Oil Consumption</t>
  </si>
  <si>
    <t>Opening Balance of Gross Normative Loan</t>
  </si>
  <si>
    <t>Cumulative Repayment till the year</t>
  </si>
  <si>
    <t>Opening Balance of Net Normative Loan</t>
  </si>
  <si>
    <t>Less: Reduction of Normative Loan due to retirement or replacement of assets</t>
  </si>
  <si>
    <t>Closing Balance of Net Normative Loan</t>
  </si>
  <si>
    <t>Closing Balance of Gross Normative Loan</t>
  </si>
  <si>
    <t>Return on Equity Computation</t>
  </si>
  <si>
    <t>Total Return on Equity</t>
  </si>
  <si>
    <t>Repayment of Normative loan during the year</t>
  </si>
  <si>
    <t>Total Loan</t>
  </si>
  <si>
    <t>Justification</t>
  </si>
  <si>
    <t>Financing Details</t>
  </si>
  <si>
    <t>Internal Resources</t>
  </si>
  <si>
    <t>Total Cost</t>
  </si>
  <si>
    <t>Financing of Additional Capitalisation</t>
  </si>
  <si>
    <t>Loan 2</t>
  </si>
  <si>
    <t>Loan 1</t>
  </si>
  <si>
    <t>S. No.</t>
  </si>
  <si>
    <t>Availability during the month (%)</t>
  </si>
  <si>
    <t>Cumulative Availability (%)</t>
  </si>
  <si>
    <t>Actual PLF during the month (%)</t>
  </si>
  <si>
    <t>Cumulative PLF (%)</t>
  </si>
  <si>
    <t>Gross  Generation (MU)</t>
  </si>
  <si>
    <t>Auxiliary Consumption (MU)</t>
  </si>
  <si>
    <t>Variable Charges Per Unit</t>
  </si>
  <si>
    <t>Fixed Charges During Month</t>
  </si>
  <si>
    <t>Incentive Amount</t>
  </si>
  <si>
    <t>Other recoveries/adjustments</t>
  </si>
  <si>
    <t>Rs./kWh</t>
  </si>
  <si>
    <t>Rs. Crore</t>
  </si>
  <si>
    <t>Total Revenue as per Audited Accounts</t>
  </si>
  <si>
    <t>Gross Station Heat Rate</t>
  </si>
  <si>
    <t>True-Up requirement</t>
  </si>
  <si>
    <t>Legend</t>
  </si>
  <si>
    <t xml:space="preserve">Details of outages should be submitted for each Unit of each station separately </t>
  </si>
  <si>
    <t>R &amp; M Expenses</t>
  </si>
  <si>
    <t>Installed Capacity</t>
  </si>
  <si>
    <t>Weighted average Rate of Interest on actual Loans (%)</t>
  </si>
  <si>
    <t>Average Balance of Net Normative Loan</t>
  </si>
  <si>
    <t>Average Loan Balance</t>
  </si>
  <si>
    <t>Net Generation (MU)</t>
  </si>
  <si>
    <t>Generation above target PLF (MU)</t>
  </si>
  <si>
    <t>Approved Fixed Charges</t>
  </si>
  <si>
    <t>Amount of Fuel Surcharge Adjustment</t>
  </si>
  <si>
    <t>Summary of Capital Expenditure and Capitalisation</t>
  </si>
  <si>
    <t>Type of Thermal Generating Station (Pithead/Non-Pithead)</t>
  </si>
  <si>
    <t>Form 15</t>
  </si>
  <si>
    <t>Form 16</t>
  </si>
  <si>
    <t>Regulatory Equity at the beginning of the year</t>
  </si>
  <si>
    <t>Capitalisation during the year</t>
  </si>
  <si>
    <t>Return on Regulatory Equity at the beginning of the year</t>
  </si>
  <si>
    <t>Return on Regulatory Equity addition during the year</t>
  </si>
  <si>
    <t>Revenue from Sale of Electricity</t>
  </si>
  <si>
    <t>n+1</t>
  </si>
  <si>
    <t xml:space="preserve">April-March     </t>
  </si>
  <si>
    <t>Claimed</t>
  </si>
  <si>
    <t>April - March</t>
  </si>
  <si>
    <t>Interest and finance charges on loan</t>
  </si>
  <si>
    <t>Return on Equity</t>
  </si>
  <si>
    <t>Annual Fixed Charges</t>
  </si>
  <si>
    <t>Energy Charges</t>
  </si>
  <si>
    <t>Energy Charge Rate</t>
  </si>
  <si>
    <t>Scheduled Energy (ex-bus)</t>
  </si>
  <si>
    <t>Apr - Mar</t>
  </si>
  <si>
    <t>Apr-Mar</t>
  </si>
  <si>
    <t>A&amp;G Expenses</t>
  </si>
  <si>
    <t>Note:</t>
  </si>
  <si>
    <t>The projections for the Control Period to be supported by detailed computations</t>
  </si>
  <si>
    <t>Opening Capital Works in Progress</t>
  </si>
  <si>
    <t>Closing Capital Works in Progress</t>
  </si>
  <si>
    <t>FY</t>
  </si>
  <si>
    <t>Name of the work</t>
  </si>
  <si>
    <t>Scope of work</t>
  </si>
  <si>
    <t>Total estimated cost* (Rs. Crore)</t>
  </si>
  <si>
    <t>*</t>
  </si>
  <si>
    <t>Total estimated cost to be supported by documentary evidences like work orders, investment approvals etc.</t>
  </si>
  <si>
    <t>Capitalisation during the year (Rs. Crore)</t>
  </si>
  <si>
    <t>Relevant Clause of the TSERC MYT Regulation, 2023 under which the capitalisation has been claimed</t>
  </si>
  <si>
    <t>A/c Code</t>
  </si>
  <si>
    <t>Rate of Depriciation</t>
  </si>
  <si>
    <t xml:space="preserve">Gross fixed Assets </t>
  </si>
  <si>
    <t>Provisions for depreciation</t>
  </si>
  <si>
    <t xml:space="preserve">Net fixed Assets </t>
  </si>
  <si>
    <t>At the beginning of the year</t>
  </si>
  <si>
    <t>Adjust. &amp; deductions</t>
  </si>
  <si>
    <t>At the end of the year</t>
  </si>
  <si>
    <t>Cumulative upto the beginning of the year</t>
  </si>
  <si>
    <t>Adjust. during the year</t>
  </si>
  <si>
    <t>Cumulative at the end of the year</t>
  </si>
  <si>
    <t xml:space="preserve">Asset Group                                                                                                                                                </t>
  </si>
  <si>
    <t>Form 2</t>
  </si>
  <si>
    <t>Form 2.3</t>
  </si>
  <si>
    <t>Form 2.1: Employee Expenses</t>
  </si>
  <si>
    <t>Form 2.3: Repair &amp; Maintenance Expenses</t>
  </si>
  <si>
    <t>Form 3:  Summary of Capital Expenditure and Capitalisation</t>
  </si>
  <si>
    <t>Form 3.1:  Statement of Additional Capitalisation after COD</t>
  </si>
  <si>
    <t>Form 4:  Fixed Assets &amp; Depreciation</t>
  </si>
  <si>
    <t>Capital Expenditure during the year</t>
  </si>
  <si>
    <t>Form 5:  Interest and finance charges on loan</t>
  </si>
  <si>
    <t>Normative Loan</t>
  </si>
  <si>
    <t>Interest</t>
  </si>
  <si>
    <t>Actual loan portfolio</t>
  </si>
  <si>
    <t>…......</t>
  </si>
  <si>
    <t>Finance charges</t>
  </si>
  <si>
    <t>Total Interest &amp; Finance charges</t>
  </si>
  <si>
    <t>Form 6:  Interest on working capital</t>
  </si>
  <si>
    <t>Cost of coal, towards stock</t>
  </si>
  <si>
    <t>Cost of coal for generation</t>
  </si>
  <si>
    <t>Cost of secondary fuel oil</t>
  </si>
  <si>
    <t>O&amp;M expenses</t>
  </si>
  <si>
    <t>Maintenance spares</t>
  </si>
  <si>
    <t>Less:</t>
  </si>
  <si>
    <t>Interest rate</t>
  </si>
  <si>
    <t>Interest on working capital</t>
  </si>
  <si>
    <t>Form 7:  Return on Equity</t>
  </si>
  <si>
    <t>Rate of Return on Equity</t>
  </si>
  <si>
    <t>Base rate of Return on Equity</t>
  </si>
  <si>
    <t>Effective Income Tax rate</t>
  </si>
  <si>
    <t>Form 8:  Non-Tariff Income</t>
  </si>
  <si>
    <t xml:space="preserve">April-March    </t>
  </si>
  <si>
    <t>Form 9:  Planned &amp; Forced Outages</t>
  </si>
  <si>
    <t>Form 10: Operational parameters</t>
  </si>
  <si>
    <t>Form 3.2:  Financing of Additional Capitalisation</t>
  </si>
  <si>
    <t>Additional capitalisation</t>
  </si>
  <si>
    <t>Others (Please Specify)</t>
  </si>
  <si>
    <t>Total (2+3+4+5)</t>
  </si>
  <si>
    <t>Opening Quantity</t>
  </si>
  <si>
    <t>Opening quantity of coal</t>
  </si>
  <si>
    <t>Value ot stock</t>
  </si>
  <si>
    <t>MT</t>
  </si>
  <si>
    <t>Procurement</t>
  </si>
  <si>
    <t>Quantity of coal suppllied by the coal company</t>
  </si>
  <si>
    <t>Coal supplied by coal company (3+4)</t>
  </si>
  <si>
    <t>Normative transit and handling loss</t>
  </si>
  <si>
    <t>Net coal supplied</t>
  </si>
  <si>
    <t>Price</t>
  </si>
  <si>
    <t>Amount charged by coal company</t>
  </si>
  <si>
    <t>Adjustment in amount charged by the coal company</t>
  </si>
  <si>
    <t>Handling, sampling and such other similar charges</t>
  </si>
  <si>
    <t>Total amount charged (8+9+10)</t>
  </si>
  <si>
    <t>D</t>
  </si>
  <si>
    <t>Transportation</t>
  </si>
  <si>
    <t>Transportation charges</t>
  </si>
  <si>
    <t>By rail</t>
  </si>
  <si>
    <t>By road</t>
  </si>
  <si>
    <t>By ship</t>
  </si>
  <si>
    <t>Adjustment in amount charged by the coal transporter</t>
  </si>
  <si>
    <t>Demurrage charges, if any</t>
  </si>
  <si>
    <t>Total Transportation charges (12+13+14+15)</t>
  </si>
  <si>
    <t>Total amount charged for coal supplied including transportation (11+16)</t>
  </si>
  <si>
    <t>E</t>
  </si>
  <si>
    <t>Landed cost of coal (2+17)/(1+7)</t>
  </si>
  <si>
    <t>Rs./MT</t>
  </si>
  <si>
    <t>Blending Ratio (Domestic/Imported)</t>
  </si>
  <si>
    <t>Weighted average cost of coal for preceding three months</t>
  </si>
  <si>
    <t>F</t>
  </si>
  <si>
    <t>Quality</t>
  </si>
  <si>
    <t>kcal/kg</t>
  </si>
  <si>
    <t>GCV of Domestic Coal supplied as per bill of Coal Company</t>
  </si>
  <si>
    <t>GCV of Imported Coal supplied as per bill Coal Company</t>
  </si>
  <si>
    <t>Weighted average GCV of coal as Billed</t>
  </si>
  <si>
    <t>GCV of Domestic Coal supplied as received at Station</t>
  </si>
  <si>
    <t>GCV of Imported Coal of opening stock as received at Station</t>
  </si>
  <si>
    <t>Weighted average GCV of coal as Received</t>
  </si>
  <si>
    <t>Similar details to be furnished for secondary fuel oil for coal based thermal plants with appropriate units.</t>
  </si>
  <si>
    <t>As billed and as received GCV, quantity of coal, and price should be submitted as certified by statutory auditor.</t>
  </si>
  <si>
    <t>Details to be provided for each source separately. In case of more than one source, add additional column.</t>
  </si>
  <si>
    <t>Break up of the amount charged by the Coal Company is to be provided separately.</t>
  </si>
  <si>
    <t>COD</t>
  </si>
  <si>
    <t>Form 11: Fuel Details for computation of Energy Charge Rate</t>
  </si>
  <si>
    <t>Form 12: Energy Charge Rate</t>
  </si>
  <si>
    <t>Secondary Fuel oil consumption</t>
  </si>
  <si>
    <t>Calorific Value of Secondary Fuel</t>
  </si>
  <si>
    <t>Landed Price of Secondary Fuel</t>
  </si>
  <si>
    <t>Landed Price of Coal</t>
  </si>
  <si>
    <t>Specific Coal Consumption</t>
  </si>
  <si>
    <t>ECR</t>
  </si>
  <si>
    <t>AUX</t>
  </si>
  <si>
    <t>SFC</t>
  </si>
  <si>
    <t>CVSF</t>
  </si>
  <si>
    <t>kcal/ml</t>
  </si>
  <si>
    <t>LPSF</t>
  </si>
  <si>
    <t>Rs./ml</t>
  </si>
  <si>
    <t>CVPF</t>
  </si>
  <si>
    <t>LPPF</t>
  </si>
  <si>
    <t>Rs./kg</t>
  </si>
  <si>
    <t>kg/kWh</t>
  </si>
  <si>
    <t>GSHR</t>
  </si>
  <si>
    <t>Gross Calorific Value of Coal</t>
  </si>
  <si>
    <t>Form 13: Sales</t>
  </si>
  <si>
    <t>Beneficiary</t>
  </si>
  <si>
    <t>Fuel Surcharge</t>
  </si>
  <si>
    <t>Energy Charges Amount</t>
  </si>
  <si>
    <t>Form 15: Revenue Reconciliation</t>
  </si>
  <si>
    <t>MYT/Tariff Order</t>
  </si>
  <si>
    <t xml:space="preserve"> Tariff Filing Formats - Generation</t>
  </si>
  <si>
    <t>Form</t>
  </si>
  <si>
    <t>Checklist</t>
  </si>
  <si>
    <t>Tick</t>
  </si>
  <si>
    <t>Form 14</t>
  </si>
  <si>
    <t>Summary Sheet</t>
  </si>
  <si>
    <t>Form 2:  Operation and Maintenance Expenses</t>
  </si>
  <si>
    <t>Operation and Maintenance Expenses</t>
  </si>
  <si>
    <t>Employee Expenses</t>
  </si>
  <si>
    <t>Administration &amp; General Expenses</t>
  </si>
  <si>
    <t>Repair &amp; Maintenance Expenses</t>
  </si>
  <si>
    <t>Statement of Additional Capitalisation after COD</t>
  </si>
  <si>
    <t>Fixed Assets &amp; Depreciation</t>
  </si>
  <si>
    <t>Operational parameters</t>
  </si>
  <si>
    <t>Fuel Details for computation of Energy Charge Rate</t>
  </si>
  <si>
    <t>Sales</t>
  </si>
  <si>
    <t>Revenue Reconciliation</t>
  </si>
  <si>
    <t>Summary of true-up</t>
  </si>
  <si>
    <t>GCV of Domestic Coal of the opening stock as received at Station</t>
  </si>
  <si>
    <t>GCV of Imported Coal of the opening stock as per bill Coal Company</t>
  </si>
  <si>
    <t>GCV of Domestic Coal of the opening coal stock as per bill of Coal Company</t>
  </si>
  <si>
    <t>Cost of diesel in transporting coal through MGR system, if applicable</t>
  </si>
  <si>
    <t>Unfunded past liabilities of pension &amp; gratuity</t>
  </si>
  <si>
    <t>AFC +Energy Charges</t>
  </si>
  <si>
    <t>MYT/ Tariff Order</t>
  </si>
  <si>
    <t>Adjustment in coal quantity supplied by the coal company (-/+)</t>
  </si>
  <si>
    <r>
      <t>Receivables</t>
    </r>
    <r>
      <rPr>
        <sz val="10"/>
        <rFont val="Arial"/>
        <family val="2"/>
      </rPr>
      <t>1</t>
    </r>
  </si>
  <si>
    <r>
      <t>Payables for Fuels</t>
    </r>
    <r>
      <rPr>
        <sz val="10"/>
        <rFont val="Arial"/>
        <family val="2"/>
      </rPr>
      <t>2</t>
    </r>
  </si>
  <si>
    <t>1 In case actual availability is less or more than normative value, the modification in the formula need to be done accordingly.</t>
  </si>
  <si>
    <r>
      <t>Addition of Normative Loan due to capitalisation during the year</t>
    </r>
    <r>
      <rPr>
        <sz val="10"/>
        <rFont val="Arial"/>
        <family val="2"/>
      </rPr>
      <t>1</t>
    </r>
  </si>
  <si>
    <t>1 In case actual loan is more than 75%, the modification in the formula need to be done accordingly.</t>
  </si>
  <si>
    <t xml:space="preserve">      &lt;TGGENCO&gt;</t>
  </si>
  <si>
    <t>TGGENCO</t>
  </si>
  <si>
    <t>FY 2023-24</t>
  </si>
  <si>
    <t>FY 2024-25</t>
  </si>
  <si>
    <t>FY 2025-26</t>
  </si>
  <si>
    <t>Form 2.2: Administrative &amp; General Expenses</t>
  </si>
  <si>
    <t>Form 1: Summary Sheet</t>
  </si>
  <si>
    <t>Coal Rate</t>
  </si>
  <si>
    <t>Oil Rate</t>
  </si>
  <si>
    <t>COMPUTERS</t>
  </si>
  <si>
    <t xml:space="preserve">CURRENT CONSUMPTION CHARGES                       </t>
  </si>
  <si>
    <t xml:space="preserve">INCOME FROM SALE OF ASH                           </t>
  </si>
  <si>
    <t xml:space="preserve">INCOME FROM SALE OF COAL REJECTS                  </t>
  </si>
  <si>
    <t xml:space="preserve">INCOME FROM SALE OF SCRAP                         </t>
  </si>
  <si>
    <t xml:space="preserve">INTEREST ON CYCLE/MOPED/MOTOR CYCLE/CAR ADVANCE   </t>
  </si>
  <si>
    <t xml:space="preserve">INTEREST ON MARRIAGE ADVANCE TO STAFF             </t>
  </si>
  <si>
    <t>INTEREST ON STAFF LOANS &amp; ADVANCES(HOUSE BUILDING)</t>
  </si>
  <si>
    <t xml:space="preserve">INTEREST/INCOME FROM OTHER DEPOSITS               </t>
  </si>
  <si>
    <t xml:space="preserve">INTEREST/INCOME ON DEPOSITS FROM BANKS            </t>
  </si>
  <si>
    <t xml:space="preserve">OTHER INCOME - CONSULTANCY PROJECTS               </t>
  </si>
  <si>
    <t xml:space="preserve">OTHER MISCELLANEOUS RECEIPTS/INCOME               </t>
  </si>
  <si>
    <t xml:space="preserve">OTHER RENTAL OR LETTING OUT                       </t>
  </si>
  <si>
    <t xml:space="preserve">PENALITIES RECOVERED FROM CONTRACTORS             </t>
  </si>
  <si>
    <t xml:space="preserve">RENTAL FROM RES. QUARTERS FROM UN REG PERSONS     </t>
  </si>
  <si>
    <t xml:space="preserve">RENTAL FROM STAFF FOR RESIDENTIAL QUARTERS        </t>
  </si>
  <si>
    <t xml:space="preserve">SALE OF TENDER SPECIFICATIONS                     </t>
  </si>
  <si>
    <t xml:space="preserve">VENDOR REGISTRATION FEE                           </t>
  </si>
  <si>
    <t xml:space="preserve">WATER CHARGES                                     </t>
  </si>
  <si>
    <t>Telangana State Power Generation Corporation Limited</t>
  </si>
  <si>
    <t>Opening quantity of oil</t>
  </si>
  <si>
    <t>KL</t>
  </si>
  <si>
    <t>Rs.in Crs</t>
  </si>
  <si>
    <t>Quantity of oil suppllied by the oil company</t>
  </si>
  <si>
    <t>Adjustment in oil quantity supplied by the oil company</t>
  </si>
  <si>
    <t>oil supplied by oil company (3+4)</t>
  </si>
  <si>
    <t>Net oil supplied</t>
  </si>
  <si>
    <t>Amount charged by oil company</t>
  </si>
  <si>
    <t>Adjustment in amount charged by the oil company</t>
  </si>
  <si>
    <t>Adjustment in amount charged by the oil transporter</t>
  </si>
  <si>
    <t>Cost of diesel in transporting oil through MGR system, if
applicable</t>
  </si>
  <si>
    <t>Total amount charged for oil supplied including transportation (11+16)</t>
  </si>
  <si>
    <t>Landed cost of oil (2+17)/(1+7)</t>
  </si>
  <si>
    <t>Rs./KL</t>
  </si>
  <si>
    <t>Weighted average cost of oil for preceding three months</t>
  </si>
  <si>
    <t xml:space="preserve">GCV of Domestic Oil of the opening Oil stock as per bill of Oil Company
</t>
  </si>
  <si>
    <t>kcal/litre</t>
  </si>
  <si>
    <t>GCV of Domestic Oil supplied as per bill of Oil Company</t>
  </si>
  <si>
    <t xml:space="preserve">GCV of Imported Oil of the opening stock as per bill Oil Company 
</t>
  </si>
  <si>
    <t>GCV of Imported Oil supplied as per bill Oil Company</t>
  </si>
  <si>
    <t>Weighted average GCV of Oil as Billed</t>
  </si>
  <si>
    <t xml:space="preserve">GCV of Domestic Oil of the opening stock as received at Station
</t>
  </si>
  <si>
    <t>GCV of Domestic Oil supplied as received at Station</t>
  </si>
  <si>
    <t xml:space="preserve">GCV of Imported Oil of opening stock as received at Station
</t>
  </si>
  <si>
    <t>GCV of Imported Oil of opening stock as received at Station</t>
  </si>
  <si>
    <t>Weighted average GCV of Oil as Received</t>
  </si>
  <si>
    <t>-</t>
  </si>
  <si>
    <t>Fuel (savings)/charge year end adjustment</t>
  </si>
  <si>
    <t>Fixed charges disallowed as per TGSLDC Availability</t>
  </si>
  <si>
    <t>Fixed charges reduced prorata to actual capitalisation in case of BTPS</t>
  </si>
  <si>
    <t>TGSPDCL (70.55%)</t>
  </si>
  <si>
    <t>TGNPDCL (29.45%)</t>
  </si>
  <si>
    <t>Revised Proposal</t>
  </si>
  <si>
    <t>(enclosed as Annexure)</t>
  </si>
  <si>
    <t>True-Up requirement (normative)</t>
  </si>
  <si>
    <t>True-Up requirement (Normative)</t>
  </si>
  <si>
    <t>FY 2026-27</t>
  </si>
  <si>
    <t>KTPP-I</t>
  </si>
  <si>
    <t>LAND &amp;LAND RIGHTS</t>
  </si>
  <si>
    <t>LAND DEPOSITS</t>
  </si>
  <si>
    <t>BUILDINGS</t>
  </si>
  <si>
    <t>LINES AND CABLE NETWORK</t>
  </si>
  <si>
    <t>PLANT AND EQUIPMENT</t>
  </si>
  <si>
    <t>CAPITAL SPARES</t>
  </si>
  <si>
    <t>HYDRAULIC WORKS</t>
  </si>
  <si>
    <t>OTHER CIVIL WORKS</t>
  </si>
  <si>
    <t>VEHICLES</t>
  </si>
  <si>
    <t>FURNITURE &amp; FIXTURES</t>
  </si>
  <si>
    <t>OFFICE EQUIPMENTS</t>
  </si>
  <si>
    <t xml:space="preserve">PROFIT ON SALE OF FIXED ASSETS                    </t>
  </si>
  <si>
    <t>KTPP-I &amp; II</t>
  </si>
  <si>
    <t>Form 11.1: Fuel Details for computation of Energy Charge Rate</t>
  </si>
  <si>
    <t>HFO</t>
  </si>
  <si>
    <t>LDO</t>
  </si>
  <si>
    <t xml:space="preserve">Oil Consumption </t>
  </si>
  <si>
    <t>Oil Consumption value</t>
  </si>
  <si>
    <t>Oil Consumption rate</t>
  </si>
  <si>
    <t xml:space="preserve">Projected </t>
  </si>
  <si>
    <t>14.09.2010</t>
  </si>
  <si>
    <t>Non-Pit head</t>
  </si>
  <si>
    <t xml:space="preserve">      &lt;KTPP-I&gt;</t>
  </si>
  <si>
    <t>Name of the package           (BTG, BoP, Civil Works etc.)</t>
  </si>
  <si>
    <t>Capital expenditure during the year     (Rs. Crore)</t>
  </si>
  <si>
    <t>Asset group under which the capitalisation has been accounted                          (Land, Buldings, etc.)</t>
  </si>
  <si>
    <t>2024-25</t>
  </si>
  <si>
    <t>Monitor, Printer</t>
  </si>
  <si>
    <t>22.2(a) - Additional Capitalisation</t>
  </si>
  <si>
    <t>PO No. 4500035036 Enclosed</t>
  </si>
  <si>
    <t>CCTV Surveillance System and Water Purifier Etc.</t>
  </si>
  <si>
    <t>PO No. 4500033141 &amp; 4500033813   Enclosed</t>
  </si>
  <si>
    <t>2025-26</t>
  </si>
  <si>
    <t>Design, Engineering, Supply, Erection, Testing &amp;Commissioning of New 2000 KL storage capacity HFO tank in place of damaged existing HFO tank of size 7.5 Mtrs height, 10 Mtrs radius required for Kakatiya Thermal Power Project, Stage-I, as per Design &amp; Fabrication Code: IS - 803, duly dismantling the existing HFO tank pertaining to Fuels-II sub division/MM-II/CHP/KTPP.</t>
  </si>
  <si>
    <t>Plant Asset</t>
  </si>
  <si>
    <t>1. Dismantling of the existing damaged HFO tank.
2. Construction of new 2000KL HFO  including supply of all the material required for construction and testing.
3.Sand blasting, painting and insulation of the new 2000kl HFO tank</t>
  </si>
  <si>
    <t>Enclosed</t>
  </si>
  <si>
    <t>CHP-MM-I-Design, Engineering, Manufacturing, Testing, Inspection, Supply and Commissioning of 1 No.Crawler type coal blade Bull Dozer of Engine capacity 400 - 450 HP for Coal Handling Plant of KTPP-I&amp;II .</t>
  </si>
  <si>
    <t>To feed the coal at chp hoppers to bunkers of stage-I &amp; II and making yard and making way to the lorries at hopper shed.</t>
  </si>
  <si>
    <t>CHP-MM-I-Procurement of 2 no KOMATSU/CAT/KOBELCO/Tata Hitachi/Hyundai Make Hydraulic Excavator (Quarry Model)  for newly constructed Additional CHP&amp; Old  CHP RC Hopper , pertaining to SD-I/MM-I/KTPP</t>
  </si>
  <si>
    <t>Vehicle</t>
  </si>
  <si>
    <t xml:space="preserve">The Additional coal handling plant also commissioned and coal feeding has taken through both the hopper. For clearance of coal, removal of boulders at newly constructed Additional CHP RC hopper area, 2 no Hydraulic Excavators are required in addition to the existing excavator. </t>
  </si>
  <si>
    <t>Providing  alternate arrangement to existing 11KV colony supply with RMUs and 11KV  HT cable along with required cable trays</t>
  </si>
  <si>
    <t>2026-27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</si>
</sst>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8" formatCode="&quot;$&quot;#,##0.00_);[Red]\(&quot;$&quot;#,##0.00\)"/>
    <numFmt numFmtId="43" formatCode="_(* #,##0.00_);_(* \(#,##0.00\);_(* &quot;-&quot;??_);_(@_)"/>
    <numFmt numFmtId="164" formatCode="_ * #,##0.00_ ;_ * \-#,##0.00_ ;_ * &quot;-&quot;??_ ;_ @_ "/>
    <numFmt numFmtId="165" formatCode="_-* #,##0.00_-;\-* #,##0.00_-;_-* &quot;-&quot;??_-;_-@_-"/>
    <numFmt numFmtId="166" formatCode="0.00_)"/>
    <numFmt numFmtId="167" formatCode="&quot;ß&quot;#,##0.00_);\(&quot;ß&quot;#,##0.00\)"/>
    <numFmt numFmtId="168" formatCode="0.0"/>
    <numFmt numFmtId="169" formatCode="0.000"/>
    <numFmt numFmtId="170" formatCode="0.00000000000"/>
    <numFmt numFmtId="171" formatCode="dd\.mm\.yyyy"/>
    <numFmt numFmtId="172" formatCode="_ * #,##0.000_ ;_ * \-#,##0.000_ ;_ * &quot;-&quot;???_ ;_ @_ "/>
    <numFmt numFmtId="173" formatCode="_(* #,##0.000_);_(* \(#,##0.000\);_(* &quot;-&quot;??_);_(@_)"/>
    <numFmt numFmtId="174" formatCode="_ &quot;రూ&quot;\ * #,##0.00_ ;_ &quot;రూ&quot;\ * \-#,##0.00_ ;_ &quot;రూ&quot;\ * &quot;-&quot;??_ ;_ @_ "/>
    <numFmt numFmtId="175" formatCode="0.000%"/>
  </numFmts>
  <fonts count="4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sz val="12"/>
      <name val="Arial"/>
      <family val="2"/>
    </font>
    <font>
      <sz val="10"/>
      <name val="Arial"/>
      <family val="2"/>
    </font>
    <font>
      <sz val="12"/>
      <name val="Tms Rmn"/>
    </font>
    <font>
      <sz val="10"/>
      <name val="Helv"/>
    </font>
    <font>
      <sz val="8"/>
      <name val="Arial"/>
      <family val="2"/>
    </font>
    <font>
      <b/>
      <sz val="12"/>
      <name val="Arial"/>
      <family val="2"/>
    </font>
    <font>
      <sz val="7"/>
      <name val="Small Fonts"/>
      <family val="2"/>
    </font>
    <font>
      <b/>
      <i/>
      <sz val="16"/>
      <name val="Helv"/>
    </font>
    <font>
      <sz val="11"/>
      <name val="Arial"/>
      <family val="2"/>
    </font>
    <font>
      <sz val="11"/>
      <color theme="1"/>
      <name val="Calibri"/>
      <family val="2"/>
      <scheme val="minor"/>
    </font>
    <font>
      <sz val="11"/>
      <color indexed="8"/>
      <name val="Calibri"/>
      <family val="2"/>
    </font>
    <font>
      <sz val="11"/>
      <color theme="1"/>
      <name val="Calibri"/>
      <family val="2"/>
    </font>
    <font>
      <sz val="10"/>
      <name val="Arial"/>
      <family val="2"/>
    </font>
    <font>
      <b/>
      <sz val="11"/>
      <name val="Arial"/>
      <family val="2"/>
    </font>
    <font>
      <i/>
      <sz val="11"/>
      <name val="Arial"/>
      <family val="2"/>
    </font>
    <font>
      <vertAlign val="superscript"/>
      <sz val="11"/>
      <name val="Arial"/>
      <family val="2"/>
    </font>
    <font>
      <sz val="11"/>
      <color theme="1"/>
      <name val="Arial"/>
      <family val="2"/>
    </font>
    <font>
      <b/>
      <sz val="11"/>
      <color theme="1"/>
      <name val="Arial"/>
      <family val="2"/>
    </font>
    <font>
      <b/>
      <sz val="11"/>
      <color indexed="9"/>
      <name val="Arial"/>
      <family val="2"/>
    </font>
    <font>
      <sz val="10"/>
      <name val="Arial"/>
      <family val="2"/>
    </font>
    <font>
      <u/>
      <sz val="11"/>
      <color theme="10"/>
      <name val="Calibri"/>
      <family val="2"/>
    </font>
    <font>
      <sz val="11"/>
      <color rgb="FF000000"/>
      <name val="Calibri"/>
      <family val="2"/>
      <scheme val="minor"/>
    </font>
    <font>
      <sz val="13"/>
      <name val="Arial"/>
      <family val="2"/>
    </font>
    <font>
      <b/>
      <sz val="10"/>
      <name val="Arial"/>
      <family val="2"/>
    </font>
    <font>
      <sz val="12"/>
      <color theme="1"/>
      <name val="Calibri"/>
      <family val="2"/>
      <scheme val="minor"/>
    </font>
    <font>
      <sz val="13"/>
      <name val="Calibri"/>
      <family val="2"/>
      <scheme val="minor"/>
    </font>
    <font>
      <b/>
      <sz val="13"/>
      <name val="Calibri"/>
      <family val="2"/>
      <scheme val="minor"/>
    </font>
    <font>
      <b/>
      <sz val="13"/>
      <name val="Arial"/>
      <family val="2"/>
    </font>
    <font>
      <b/>
      <sz val="11"/>
      <color theme="1"/>
      <name val="Calibri"/>
      <family val="2"/>
      <scheme val="minor"/>
    </font>
    <font>
      <sz val="10"/>
      <color rgb="FF000000"/>
      <name val="Times New Roman"/>
      <family val="1"/>
    </font>
    <font>
      <sz val="12"/>
      <color theme="1"/>
      <name val="Arial"/>
      <family val="2"/>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21">
    <border>
      <left/>
      <right/>
      <top/>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s>
  <cellStyleXfs count="486">
    <xf numFmtId="0" fontId="0" fillId="0" borderId="0"/>
    <xf numFmtId="0" fontId="12" fillId="0" borderId="0" applyNumberFormat="0" applyFill="0" applyBorder="0" applyAlignment="0" applyProtection="0"/>
    <xf numFmtId="0" fontId="13" fillId="0" borderId="1"/>
    <xf numFmtId="0" fontId="13" fillId="0" borderId="1"/>
    <xf numFmtId="38" fontId="14" fillId="2" borderId="0" applyNumberFormat="0" applyBorder="0" applyAlignment="0" applyProtection="0"/>
    <xf numFmtId="0" fontId="15" fillId="0" borderId="2" applyNumberFormat="0" applyAlignment="0" applyProtection="0">
      <alignment horizontal="left" vertical="center"/>
    </xf>
    <xf numFmtId="0" fontId="15" fillId="0" borderId="3">
      <alignment horizontal="left" vertical="center"/>
    </xf>
    <xf numFmtId="10" fontId="14" fillId="3" borderId="4" applyNumberFormat="0" applyBorder="0" applyAlignment="0" applyProtection="0"/>
    <xf numFmtId="37" fontId="16" fillId="0" borderId="0"/>
    <xf numFmtId="166" fontId="17" fillId="0" borderId="0"/>
    <xf numFmtId="0" fontId="11" fillId="0" borderId="0"/>
    <xf numFmtId="0" fontId="11" fillId="0" borderId="0"/>
    <xf numFmtId="0" fontId="9" fillId="0" borderId="0"/>
    <xf numFmtId="0" fontId="9" fillId="0" borderId="0"/>
    <xf numFmtId="0" fontId="11" fillId="0" borderId="0">
      <alignment vertical="center"/>
    </xf>
    <xf numFmtId="167" fontId="11" fillId="0" borderId="0" applyFont="0" applyFill="0" applyBorder="0" applyAlignment="0" applyProtection="0"/>
    <xf numFmtId="10" fontId="11" fillId="0" borderId="0" applyFont="0" applyFill="0" applyBorder="0" applyAlignment="0" applyProtection="0"/>
    <xf numFmtId="0" fontId="11" fillId="0" borderId="0"/>
    <xf numFmtId="0" fontId="19" fillId="0" borderId="0"/>
    <xf numFmtId="43" fontId="19" fillId="0" borderId="0" applyFont="0" applyFill="0" applyBorder="0" applyAlignment="0" applyProtection="0"/>
    <xf numFmtId="9" fontId="19" fillId="0" borderId="0" applyFont="0" applyFill="0" applyBorder="0" applyAlignment="0" applyProtection="0"/>
    <xf numFmtId="165" fontId="20" fillId="0" borderId="0" applyFont="0" applyFill="0" applyBorder="0" applyAlignment="0" applyProtection="0"/>
    <xf numFmtId="0" fontId="21" fillId="0" borderId="0"/>
    <xf numFmtId="9"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1" fillId="0" borderId="0" applyFont="0" applyFill="0" applyBorder="0" applyAlignment="0" applyProtection="0"/>
    <xf numFmtId="164" fontId="20" fillId="0" borderId="0" applyFont="0" applyFill="0" applyBorder="0" applyAlignment="0" applyProtection="0"/>
    <xf numFmtId="0" fontId="11" fillId="0" borderId="0"/>
    <xf numFmtId="0" fontId="11" fillId="0" borderId="0"/>
    <xf numFmtId="0" fontId="11" fillId="0" borderId="0"/>
    <xf numFmtId="0" fontId="11" fillId="0" borderId="0"/>
    <xf numFmtId="0" fontId="19" fillId="0" borderId="0"/>
    <xf numFmtId="0" fontId="20" fillId="0" borderId="0"/>
    <xf numFmtId="0" fontId="20" fillId="0" borderId="0"/>
    <xf numFmtId="0" fontId="19" fillId="0" borderId="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11" fillId="0" borderId="0" applyFont="0" applyFill="0" applyBorder="0" applyAlignment="0" applyProtection="0"/>
    <xf numFmtId="9" fontId="20" fillId="0" borderId="0" applyFont="0" applyFill="0" applyBorder="0" applyAlignment="0" applyProtection="0"/>
    <xf numFmtId="43" fontId="22"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11" fillId="0" borderId="0"/>
    <xf numFmtId="0" fontId="11" fillId="0" borderId="0"/>
    <xf numFmtId="0" fontId="9" fillId="0" borderId="0"/>
    <xf numFmtId="0" fontId="11" fillId="0" borderId="0" applyBorder="0" applyProtection="0"/>
    <xf numFmtId="167" fontId="20" fillId="0" borderId="0" applyFont="0" applyFill="0" applyBorder="0" applyAlignment="0" applyProtection="0"/>
    <xf numFmtId="0" fontId="11" fillId="0" borderId="0"/>
    <xf numFmtId="0" fontId="11" fillId="0" borderId="0"/>
    <xf numFmtId="0" fontId="11" fillId="0" borderId="0"/>
    <xf numFmtId="9" fontId="11" fillId="0" borderId="0" applyFont="0" applyFill="0" applyBorder="0" applyAlignment="0" applyProtection="0"/>
    <xf numFmtId="0" fontId="8" fillId="0" borderId="0"/>
    <xf numFmtId="43" fontId="8" fillId="0" borderId="0" applyFont="0" applyFill="0" applyBorder="0" applyAlignment="0" applyProtection="0"/>
    <xf numFmtId="165" fontId="11"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9" fontId="8" fillId="0" borderId="0" applyFont="0" applyFill="0" applyBorder="0" applyAlignment="0" applyProtection="0"/>
    <xf numFmtId="0" fontId="7" fillId="0" borderId="0"/>
    <xf numFmtId="0" fontId="7" fillId="0" borderId="0"/>
    <xf numFmtId="0" fontId="6" fillId="0" borderId="0"/>
    <xf numFmtId="0" fontId="5" fillId="0" borderId="0"/>
    <xf numFmtId="164" fontId="29" fillId="0" borderId="0" applyFont="0" applyFill="0" applyBorder="0" applyAlignment="0" applyProtection="0"/>
    <xf numFmtId="164" fontId="4"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20"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73" fontId="11" fillId="0" borderId="0" applyFont="0" applyFill="0" applyBorder="0" applyAlignment="0" applyProtection="0"/>
    <xf numFmtId="173" fontId="11" fillId="0" borderId="0" applyFont="0" applyFill="0" applyBorder="0" applyAlignment="0" applyProtection="0"/>
    <xf numFmtId="173" fontId="11" fillId="0" borderId="0" applyFont="0" applyFill="0" applyBorder="0" applyAlignment="0" applyProtection="0"/>
    <xf numFmtId="173" fontId="11" fillId="0" borderId="0" applyFont="0" applyFill="0" applyBorder="0" applyAlignment="0" applyProtection="0"/>
    <xf numFmtId="173" fontId="11" fillId="0" borderId="0" applyFont="0" applyFill="0" applyBorder="0" applyAlignment="0" applyProtection="0"/>
    <xf numFmtId="173" fontId="11" fillId="0" borderId="0" applyFont="0" applyFill="0" applyBorder="0" applyAlignment="0" applyProtection="0"/>
    <xf numFmtId="173" fontId="11" fillId="0" borderId="0" applyFont="0" applyFill="0" applyBorder="0" applyAlignment="0" applyProtection="0"/>
    <xf numFmtId="173" fontId="11" fillId="0" borderId="0" applyFont="0" applyFill="0" applyBorder="0" applyAlignment="0" applyProtection="0"/>
    <xf numFmtId="172"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0" fontId="4" fillId="0" borderId="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4" fillId="0" borderId="0"/>
    <xf numFmtId="8"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4" fillId="0" borderId="0"/>
    <xf numFmtId="164" fontId="11" fillId="0" borderId="0" applyFont="0" applyFill="0" applyBorder="0" applyAlignment="0" applyProtection="0"/>
    <xf numFmtId="164" fontId="11" fillId="0" borderId="0" applyFont="0" applyFill="0" applyBorder="0" applyAlignment="0" applyProtection="0"/>
    <xf numFmtId="174" fontId="11" fillId="0" borderId="0" applyFont="0" applyFill="0" applyBorder="0" applyAlignment="0" applyProtection="0"/>
    <xf numFmtId="0" fontId="30" fillId="0" borderId="0" applyNumberFormat="0" applyFill="0" applyBorder="0" applyAlignment="0" applyProtection="0">
      <alignment vertical="top"/>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11" fillId="0" borderId="0" applyFont="0" applyFill="0" applyBorder="0" applyAlignment="0" applyProtection="0"/>
    <xf numFmtId="0" fontId="4" fillId="0" borderId="0"/>
    <xf numFmtId="0" fontId="4" fillId="0" borderId="0"/>
    <xf numFmtId="0" fontId="4" fillId="0" borderId="0"/>
    <xf numFmtId="0" fontId="4" fillId="0" borderId="0"/>
    <xf numFmtId="0" fontId="3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0" borderId="0"/>
    <xf numFmtId="174" fontId="11" fillId="0" borderId="0" applyFon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4" fontId="4" fillId="0" borderId="0" applyFont="0" applyFill="0" applyBorder="0" applyAlignment="0" applyProtection="0"/>
    <xf numFmtId="169" fontId="4" fillId="0" borderId="0" applyFont="0" applyFill="0" applyBorder="0" applyAlignment="0" applyProtection="0"/>
    <xf numFmtId="164" fontId="4" fillId="0" borderId="0" applyFont="0" applyFill="0" applyBorder="0" applyAlignment="0" applyProtection="0"/>
    <xf numFmtId="171" fontId="11" fillId="0" borderId="0" applyFont="0" applyFill="0" applyBorder="0" applyAlignment="0" applyProtection="0"/>
    <xf numFmtId="0" fontId="4" fillId="0" borderId="0"/>
    <xf numFmtId="0" fontId="4" fillId="0" borderId="0"/>
    <xf numFmtId="164" fontId="4"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164" fontId="4" fillId="0" borderId="0" applyFont="0" applyFill="0" applyBorder="0" applyAlignment="0" applyProtection="0"/>
    <xf numFmtId="164" fontId="4" fillId="0" borderId="0" applyFont="0" applyFill="0" applyBorder="0" applyAlignment="0" applyProtection="0"/>
    <xf numFmtId="169" fontId="4" fillId="0" borderId="0" applyFont="0" applyFill="0" applyBorder="0" applyAlignment="0" applyProtection="0"/>
    <xf numFmtId="164" fontId="4" fillId="0" borderId="0" applyFont="0" applyFill="0" applyBorder="0" applyAlignment="0" applyProtection="0"/>
    <xf numFmtId="171" fontId="11"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0" fontId="4" fillId="0" borderId="0"/>
    <xf numFmtId="0" fontId="4" fillId="0" borderId="0"/>
    <xf numFmtId="0" fontId="31" fillId="0" borderId="0"/>
    <xf numFmtId="0" fontId="31" fillId="0" borderId="0"/>
    <xf numFmtId="0" fontId="4" fillId="0" borderId="0"/>
    <xf numFmtId="0" fontId="31" fillId="0" borderId="0"/>
    <xf numFmtId="0" fontId="4" fillId="0" borderId="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164" fontId="11" fillId="0" borderId="0" applyFont="0" applyFill="0" applyBorder="0" applyAlignment="0" applyProtection="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164" fontId="11"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8"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0" fontId="4" fillId="0" borderId="0"/>
    <xf numFmtId="0" fontId="4" fillId="0" borderId="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164" fontId="11" fillId="0" borderId="0" applyFont="0" applyFill="0" applyBorder="0" applyAlignment="0" applyProtection="0"/>
    <xf numFmtId="0" fontId="4" fillId="0" borderId="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0" fontId="4" fillId="0" borderId="0" applyFont="0" applyFill="0" applyBorder="0" applyAlignment="0" applyProtection="0"/>
    <xf numFmtId="0" fontId="31" fillId="0" borderId="0"/>
    <xf numFmtId="0" fontId="4" fillId="0" borderId="0" applyFont="0" applyFill="0" applyBorder="0" applyAlignment="0" applyProtection="0"/>
    <xf numFmtId="0" fontId="4" fillId="0" borderId="0"/>
    <xf numFmtId="0" fontId="31" fillId="0" borderId="0"/>
    <xf numFmtId="0" fontId="3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applyFont="0" applyFill="0" applyBorder="0" applyAlignment="0" applyProtection="0"/>
    <xf numFmtId="164" fontId="11" fillId="0" borderId="0" applyFont="0" applyFill="0" applyBorder="0" applyAlignment="0" applyProtection="0"/>
    <xf numFmtId="0" fontId="4" fillId="0" borderId="0"/>
    <xf numFmtId="0" fontId="11" fillId="0" borderId="0"/>
    <xf numFmtId="0" fontId="4" fillId="0" borderId="0"/>
    <xf numFmtId="0" fontId="4" fillId="0" borderId="0"/>
    <xf numFmtId="174" fontId="11" fillId="0" borderId="0" applyFont="0" applyFill="0" applyBorder="0" applyAlignment="0" applyProtection="0"/>
    <xf numFmtId="0" fontId="4" fillId="0" borderId="0"/>
    <xf numFmtId="0" fontId="4" fillId="0" borderId="0"/>
    <xf numFmtId="0" fontId="4" fillId="0" borderId="0"/>
    <xf numFmtId="164" fontId="11" fillId="0" borderId="0" applyFont="0" applyFill="0" applyBorder="0" applyAlignment="0" applyProtection="0"/>
    <xf numFmtId="0" fontId="4" fillId="0" borderId="0"/>
    <xf numFmtId="8" fontId="11" fillId="0" borderId="0" applyFont="0" applyFill="0" applyBorder="0" applyAlignment="0" applyProtection="0"/>
    <xf numFmtId="0" fontId="4" fillId="0" borderId="0"/>
    <xf numFmtId="164" fontId="11" fillId="0" borderId="0" applyFont="0" applyFill="0" applyBorder="0" applyAlignment="0" applyProtection="0"/>
    <xf numFmtId="0" fontId="4" fillId="0" borderId="0"/>
    <xf numFmtId="0" fontId="4" fillId="0" borderId="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164" fontId="11" fillId="0" borderId="0" applyFont="0" applyFill="0" applyBorder="0" applyAlignment="0" applyProtection="0"/>
    <xf numFmtId="0" fontId="4" fillId="0" borderId="0"/>
    <xf numFmtId="8" fontId="11" fillId="0" borderId="0" applyFont="0" applyFill="0" applyBorder="0" applyAlignment="0" applyProtection="0"/>
    <xf numFmtId="0" fontId="4" fillId="0" borderId="0"/>
    <xf numFmtId="164" fontId="11" fillId="0" borderId="0" applyFont="0" applyFill="0" applyBorder="0" applyAlignment="0" applyProtection="0"/>
    <xf numFmtId="0" fontId="4" fillId="0" borderId="0"/>
    <xf numFmtId="0" fontId="4" fillId="0" borderId="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164" fontId="11" fillId="0" borderId="0" applyFont="0" applyFill="0" applyBorder="0" applyAlignment="0" applyProtection="0"/>
    <xf numFmtId="0" fontId="4" fillId="0" borderId="0"/>
    <xf numFmtId="8" fontId="11" fillId="0" borderId="0" applyFont="0" applyFill="0" applyBorder="0" applyAlignment="0" applyProtection="0"/>
    <xf numFmtId="164" fontId="11" fillId="0" borderId="0" applyFont="0" applyFill="0" applyBorder="0" applyAlignment="0" applyProtection="0"/>
    <xf numFmtId="0" fontId="4" fillId="0" borderId="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164" fontId="11" fillId="0" borderId="0" applyFont="0" applyFill="0" applyBorder="0" applyAlignment="0" applyProtection="0"/>
    <xf numFmtId="0" fontId="4" fillId="0" borderId="0"/>
    <xf numFmtId="8" fontId="11" fillId="0" borderId="0" applyFont="0" applyFill="0" applyBorder="0" applyAlignment="0" applyProtection="0"/>
    <xf numFmtId="164" fontId="11" fillId="0" borderId="0" applyFont="0" applyFill="0" applyBorder="0" applyAlignment="0" applyProtection="0"/>
    <xf numFmtId="0" fontId="4" fillId="0" borderId="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0" fontId="4" fillId="0" borderId="0"/>
    <xf numFmtId="0" fontId="11" fillId="0" borderId="0"/>
    <xf numFmtId="0" fontId="4" fillId="0" borderId="0"/>
    <xf numFmtId="0" fontId="4" fillId="0" borderId="0"/>
    <xf numFmtId="164" fontId="11" fillId="0" borderId="0" applyFont="0" applyFill="0" applyBorder="0" applyAlignment="0" applyProtection="0"/>
    <xf numFmtId="0" fontId="4" fillId="0" borderId="0"/>
    <xf numFmtId="0" fontId="4" fillId="0" borderId="0"/>
    <xf numFmtId="0" fontId="4" fillId="0" borderId="0"/>
    <xf numFmtId="8" fontId="11" fillId="0" borderId="0" applyFont="0" applyFill="0" applyBorder="0" applyAlignment="0" applyProtection="0"/>
    <xf numFmtId="164" fontId="11" fillId="0" borderId="0" applyFont="0" applyFill="0" applyBorder="0" applyAlignment="0" applyProtection="0"/>
    <xf numFmtId="0" fontId="4" fillId="0" borderId="0"/>
    <xf numFmtId="164" fontId="11" fillId="0" borderId="0" applyFont="0" applyFill="0" applyBorder="0" applyAlignment="0" applyProtection="0"/>
    <xf numFmtId="0" fontId="11" fillId="0" borderId="0"/>
    <xf numFmtId="0" fontId="4" fillId="0" borderId="0"/>
    <xf numFmtId="0" fontId="4" fillId="0" borderId="0"/>
    <xf numFmtId="0" fontId="4" fillId="0" borderId="0"/>
    <xf numFmtId="0" fontId="4"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0"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164" fontId="3" fillId="0" borderId="0" applyFont="0" applyFill="0" applyBorder="0" applyAlignment="0" applyProtection="0"/>
    <xf numFmtId="164" fontId="3" fillId="0" borderId="0" applyFont="0" applyFill="0" applyBorder="0" applyAlignment="0" applyProtection="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xf numFmtId="0" fontId="11" fillId="0" borderId="0"/>
    <xf numFmtId="0" fontId="11" fillId="0" borderId="0"/>
    <xf numFmtId="0" fontId="11" fillId="0" borderId="0"/>
    <xf numFmtId="164" fontId="2" fillId="0" borderId="0" applyFont="0" applyFill="0" applyBorder="0" applyAlignment="0" applyProtection="0"/>
    <xf numFmtId="0" fontId="39" fillId="0" borderId="0"/>
    <xf numFmtId="164" fontId="2" fillId="0" borderId="0" applyFont="0" applyFill="0" applyBorder="0" applyAlignment="0" applyProtection="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xf numFmtId="0" fontId="2" fillId="0" borderId="0"/>
    <xf numFmtId="0" fontId="2" fillId="0" borderId="0"/>
    <xf numFmtId="0" fontId="39" fillId="0" borderId="0"/>
    <xf numFmtId="0" fontId="11" fillId="0" borderId="0"/>
    <xf numFmtId="0" fontId="11" fillId="0" borderId="0"/>
    <xf numFmtId="0" fontId="11" fillId="0" borderId="0"/>
    <xf numFmtId="0" fontId="2" fillId="0" borderId="0"/>
    <xf numFmtId="0" fontId="2"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342">
    <xf numFmtId="0" fontId="0" fillId="0" borderId="0" xfId="0"/>
    <xf numFmtId="0" fontId="10" fillId="0" borderId="0" xfId="10" applyFont="1" applyAlignment="1">
      <alignment horizontal="center" vertical="center"/>
    </xf>
    <xf numFmtId="0" fontId="18" fillId="0" borderId="4" xfId="14" applyFont="1" applyBorder="1" applyAlignment="1">
      <alignment horizontal="center" vertical="center"/>
    </xf>
    <xf numFmtId="0" fontId="18" fillId="0" borderId="4" xfId="14" applyFont="1" applyBorder="1">
      <alignment vertical="center"/>
    </xf>
    <xf numFmtId="0" fontId="18" fillId="0" borderId="0" xfId="10" applyFont="1"/>
    <xf numFmtId="0" fontId="18" fillId="0" borderId="0" xfId="10" applyFont="1" applyAlignment="1">
      <alignment vertical="center"/>
    </xf>
    <xf numFmtId="0" fontId="10" fillId="0" borderId="0" xfId="14" applyFont="1">
      <alignment vertical="center"/>
    </xf>
    <xf numFmtId="0" fontId="10" fillId="0" borderId="4" xfId="14" applyFont="1" applyBorder="1" applyAlignment="1">
      <alignment horizontal="center" vertical="center"/>
    </xf>
    <xf numFmtId="0" fontId="10" fillId="0" borderId="4" xfId="14" applyFont="1" applyBorder="1" applyAlignment="1">
      <alignment horizontal="left" vertical="center"/>
    </xf>
    <xf numFmtId="0" fontId="10" fillId="0" borderId="4" xfId="14" applyFont="1" applyBorder="1" applyAlignment="1">
      <alignment vertical="top" wrapText="1"/>
    </xf>
    <xf numFmtId="0" fontId="10" fillId="0" borderId="0" xfId="10" applyFont="1"/>
    <xf numFmtId="0" fontId="15" fillId="0" borderId="8" xfId="14" applyFont="1" applyBorder="1" applyAlignment="1">
      <alignment horizontal="center" vertical="center"/>
    </xf>
    <xf numFmtId="0" fontId="15" fillId="0" borderId="4" xfId="14" applyFont="1" applyBorder="1" applyAlignment="1">
      <alignment horizontal="center" vertical="center"/>
    </xf>
    <xf numFmtId="0" fontId="18" fillId="0" borderId="0" xfId="14" applyFont="1">
      <alignment vertical="center"/>
    </xf>
    <xf numFmtId="0" fontId="23" fillId="0" borderId="4" xfId="14" applyFont="1" applyBorder="1" applyAlignment="1">
      <alignment horizontal="center" vertical="center"/>
    </xf>
    <xf numFmtId="0" fontId="23" fillId="0" borderId="4" xfId="14" applyFont="1" applyBorder="1" applyAlignment="1">
      <alignment horizontal="center" vertical="center" wrapText="1"/>
    </xf>
    <xf numFmtId="0" fontId="18" fillId="0" borderId="4" xfId="14" applyFont="1" applyBorder="1" applyAlignment="1">
      <alignment horizontal="left" vertical="center"/>
    </xf>
    <xf numFmtId="0" fontId="18" fillId="5" borderId="4" xfId="14" applyFont="1" applyFill="1" applyBorder="1" applyAlignment="1">
      <alignment horizontal="left" vertical="center"/>
    </xf>
    <xf numFmtId="0" fontId="18" fillId="0" borderId="4" xfId="14" applyFont="1" applyBorder="1" applyAlignment="1">
      <alignment vertical="top" wrapText="1"/>
    </xf>
    <xf numFmtId="0" fontId="23" fillId="0" borderId="4" xfId="14" applyFont="1" applyBorder="1">
      <alignment vertical="center"/>
    </xf>
    <xf numFmtId="0" fontId="18" fillId="0" borderId="4" xfId="10" applyFont="1" applyBorder="1" applyAlignment="1">
      <alignment horizontal="center" vertical="center"/>
    </xf>
    <xf numFmtId="0" fontId="18" fillId="0" borderId="4" xfId="10" applyFont="1" applyBorder="1" applyAlignment="1">
      <alignment horizontal="center" vertical="center" wrapText="1"/>
    </xf>
    <xf numFmtId="0" fontId="23" fillId="0" borderId="7" xfId="10" applyFont="1" applyBorder="1" applyAlignment="1">
      <alignment horizontal="center" vertical="center" wrapText="1"/>
    </xf>
    <xf numFmtId="0" fontId="23" fillId="0" borderId="4" xfId="10" applyFont="1" applyBorder="1" applyAlignment="1">
      <alignment horizontal="center" vertical="center"/>
    </xf>
    <xf numFmtId="0" fontId="23" fillId="0" borderId="0" xfId="10" applyFont="1" applyAlignment="1">
      <alignment horizontal="left" vertical="center"/>
    </xf>
    <xf numFmtId="0" fontId="23" fillId="0" borderId="0" xfId="10" applyFont="1" applyAlignment="1">
      <alignment horizontal="right" vertical="center"/>
    </xf>
    <xf numFmtId="0" fontId="23" fillId="0" borderId="0" xfId="14" applyFont="1" applyAlignment="1">
      <alignment horizontal="right" vertical="center"/>
    </xf>
    <xf numFmtId="0" fontId="18" fillId="0" borderId="4" xfId="10" applyFont="1" applyBorder="1" applyAlignment="1">
      <alignment vertical="center"/>
    </xf>
    <xf numFmtId="0" fontId="18" fillId="0" borderId="4" xfId="0" applyFont="1" applyBorder="1" applyAlignment="1">
      <alignment vertical="center"/>
    </xf>
    <xf numFmtId="0" fontId="18" fillId="0" borderId="4" xfId="10" applyFont="1" applyBorder="1" applyAlignment="1">
      <alignment horizontal="left" vertical="center"/>
    </xf>
    <xf numFmtId="0" fontId="23" fillId="0" borderId="4" xfId="10" applyFont="1" applyBorder="1" applyAlignment="1">
      <alignment horizontal="left" vertical="center" wrapText="1"/>
    </xf>
    <xf numFmtId="0" fontId="23" fillId="0" borderId="4" xfId="10" applyFont="1" applyBorder="1" applyAlignment="1">
      <alignment horizontal="center" vertical="center" wrapText="1"/>
    </xf>
    <xf numFmtId="0" fontId="23" fillId="0" borderId="0" xfId="10" applyFont="1" applyAlignment="1">
      <alignment vertical="center"/>
    </xf>
    <xf numFmtId="0" fontId="23" fillId="0" borderId="0" xfId="14" applyFont="1" applyAlignment="1">
      <alignment horizontal="center" vertical="center"/>
    </xf>
    <xf numFmtId="0" fontId="18" fillId="0" borderId="0" xfId="10" applyFont="1" applyAlignment="1">
      <alignment horizontal="center" vertical="center"/>
    </xf>
    <xf numFmtId="0" fontId="23" fillId="0" borderId="0" xfId="10" applyFont="1" applyAlignment="1">
      <alignment horizontal="center" vertical="center"/>
    </xf>
    <xf numFmtId="0" fontId="23" fillId="0" borderId="0" xfId="14" applyFont="1">
      <alignment vertical="center"/>
    </xf>
    <xf numFmtId="0" fontId="18" fillId="0" borderId="4" xfId="10" applyFont="1" applyBorder="1" applyAlignment="1">
      <alignment horizontal="left" vertical="center" wrapText="1"/>
    </xf>
    <xf numFmtId="0" fontId="23" fillId="0" borderId="0" xfId="14" applyFont="1" applyAlignment="1">
      <alignment horizontal="center" vertical="center" wrapText="1"/>
    </xf>
    <xf numFmtId="0" fontId="23" fillId="0" borderId="4" xfId="10" applyFont="1" applyBorder="1" applyAlignment="1">
      <alignment vertical="center"/>
    </xf>
    <xf numFmtId="0" fontId="18" fillId="0" borderId="4" xfId="10" applyFont="1" applyBorder="1" applyAlignment="1">
      <alignment horizontal="right" vertical="center"/>
    </xf>
    <xf numFmtId="0" fontId="23" fillId="0" borderId="0" xfId="10" applyFont="1" applyAlignment="1">
      <alignment horizontal="centerContinuous"/>
    </xf>
    <xf numFmtId="0" fontId="18" fillId="0" borderId="0" xfId="10" applyFont="1" applyAlignment="1">
      <alignment horizontal="centerContinuous"/>
    </xf>
    <xf numFmtId="0" fontId="18" fillId="0" borderId="4" xfId="10" applyFont="1" applyBorder="1"/>
    <xf numFmtId="0" fontId="23" fillId="0" borderId="4" xfId="10" applyFont="1" applyBorder="1"/>
    <xf numFmtId="0" fontId="23" fillId="0" borderId="0" xfId="10" applyFont="1" applyAlignment="1">
      <alignment horizontal="justify" vertical="top" wrapText="1"/>
    </xf>
    <xf numFmtId="0" fontId="18" fillId="0" borderId="0" xfId="10" applyFont="1" applyAlignment="1">
      <alignment horizontal="left"/>
    </xf>
    <xf numFmtId="0" fontId="18" fillId="0" borderId="4" xfId="10" applyFont="1" applyBorder="1" applyAlignment="1">
      <alignment wrapText="1"/>
    </xf>
    <xf numFmtId="0" fontId="18" fillId="0" borderId="0" xfId="10" applyFont="1" applyAlignment="1">
      <alignment horizontal="left" vertical="center"/>
    </xf>
    <xf numFmtId="0" fontId="18" fillId="0" borderId="0" xfId="10" applyFont="1" applyAlignment="1">
      <alignment horizontal="right" vertical="center"/>
    </xf>
    <xf numFmtId="0" fontId="24" fillId="0" borderId="0" xfId="10" applyFont="1" applyAlignment="1">
      <alignment horizontal="left" vertical="center"/>
    </xf>
    <xf numFmtId="0" fontId="24" fillId="0" borderId="0" xfId="10" applyFont="1" applyAlignment="1">
      <alignment vertical="center"/>
    </xf>
    <xf numFmtId="0" fontId="24" fillId="0" borderId="0" xfId="10" applyFont="1" applyAlignment="1">
      <alignment horizontal="center" vertical="center"/>
    </xf>
    <xf numFmtId="0" fontId="18" fillId="0" borderId="4" xfId="10" quotePrefix="1" applyFont="1" applyBorder="1" applyAlignment="1">
      <alignment horizontal="left" vertical="top" wrapText="1"/>
    </xf>
    <xf numFmtId="0" fontId="18" fillId="0" borderId="4" xfId="10" applyFont="1" applyBorder="1" applyAlignment="1">
      <alignment horizontal="left"/>
    </xf>
    <xf numFmtId="0" fontId="23" fillId="0" borderId="4" xfId="10" applyFont="1" applyBorder="1" applyAlignment="1">
      <alignment horizontal="left"/>
    </xf>
    <xf numFmtId="0" fontId="18" fillId="0" borderId="0" xfId="14" applyFont="1" applyAlignment="1">
      <alignment horizontal="center" vertical="center"/>
    </xf>
    <xf numFmtId="0" fontId="18" fillId="0" borderId="4" xfId="10" applyFont="1" applyBorder="1" applyAlignment="1">
      <alignment horizontal="left" vertical="top" wrapText="1"/>
    </xf>
    <xf numFmtId="0" fontId="23" fillId="0" borderId="0" xfId="10" applyFont="1" applyAlignment="1">
      <alignment horizontal="left"/>
    </xf>
    <xf numFmtId="0" fontId="23" fillId="0" borderId="0" xfId="10" applyFont="1" applyAlignment="1">
      <alignment horizontal="right"/>
    </xf>
    <xf numFmtId="0" fontId="23" fillId="0" borderId="0" xfId="10" applyFont="1" applyAlignment="1">
      <alignment horizontal="left" vertical="center" wrapText="1"/>
    </xf>
    <xf numFmtId="0" fontId="23" fillId="0" borderId="0" xfId="10" applyFont="1" applyAlignment="1">
      <alignment horizontal="center" vertical="center" wrapText="1"/>
    </xf>
    <xf numFmtId="0" fontId="18" fillId="0" borderId="7" xfId="10" applyFont="1" applyBorder="1" applyAlignment="1">
      <alignment horizontal="center" vertical="center"/>
    </xf>
    <xf numFmtId="0" fontId="24" fillId="0" borderId="0" xfId="10" applyFont="1" applyAlignment="1">
      <alignment horizontal="right" vertical="center"/>
    </xf>
    <xf numFmtId="0" fontId="18" fillId="0" borderId="0" xfId="10" applyFont="1" applyAlignment="1">
      <alignment horizontal="center"/>
    </xf>
    <xf numFmtId="0" fontId="23" fillId="4" borderId="13" xfId="67" applyFont="1" applyFill="1" applyBorder="1" applyAlignment="1">
      <alignment horizontal="center" vertical="center" wrapText="1"/>
    </xf>
    <xf numFmtId="0" fontId="23" fillId="4" borderId="14" xfId="67" applyFont="1" applyFill="1" applyBorder="1" applyAlignment="1">
      <alignment horizontal="center" vertical="center" wrapText="1"/>
    </xf>
    <xf numFmtId="0" fontId="15" fillId="0" borderId="0" xfId="14" applyFont="1" applyAlignment="1">
      <alignment horizontal="center" vertical="center"/>
    </xf>
    <xf numFmtId="0" fontId="23" fillId="0" borderId="6" xfId="14" applyFont="1" applyBorder="1" applyAlignment="1">
      <alignment horizontal="center" vertical="center" wrapText="1"/>
    </xf>
    <xf numFmtId="0" fontId="18" fillId="0" borderId="4" xfId="10" applyFont="1" applyBorder="1" applyAlignment="1">
      <alignment vertical="center" wrapText="1"/>
    </xf>
    <xf numFmtId="0" fontId="18" fillId="0" borderId="9" xfId="14" applyFont="1" applyBorder="1">
      <alignment vertical="center"/>
    </xf>
    <xf numFmtId="0" fontId="23" fillId="0" borderId="4" xfId="10" applyFont="1" applyBorder="1" applyAlignment="1">
      <alignment vertical="center" wrapText="1"/>
    </xf>
    <xf numFmtId="0" fontId="23" fillId="4" borderId="4" xfId="14" applyFont="1" applyFill="1" applyBorder="1" applyAlignment="1">
      <alignment horizontal="center" vertical="center" wrapText="1"/>
    </xf>
    <xf numFmtId="0" fontId="23" fillId="0" borderId="0" xfId="10" applyFont="1" applyAlignment="1">
      <alignment horizontal="centerContinuous" vertical="center"/>
    </xf>
    <xf numFmtId="0" fontId="18" fillId="0" borderId="0" xfId="10" applyFont="1" applyAlignment="1">
      <alignment horizontal="centerContinuous" vertical="center"/>
    </xf>
    <xf numFmtId="0" fontId="23" fillId="4" borderId="4" xfId="10" quotePrefix="1" applyFont="1" applyFill="1" applyBorder="1" applyAlignment="1">
      <alignment horizontal="center" vertical="center" wrapText="1"/>
    </xf>
    <xf numFmtId="0" fontId="23" fillId="4" borderId="4" xfId="10" applyFont="1" applyFill="1" applyBorder="1" applyAlignment="1">
      <alignment horizontal="left" vertical="center" wrapText="1"/>
    </xf>
    <xf numFmtId="0" fontId="23" fillId="4" borderId="4" xfId="10" applyFont="1" applyFill="1" applyBorder="1" applyAlignment="1">
      <alignment horizontal="center" vertical="center"/>
    </xf>
    <xf numFmtId="0" fontId="18" fillId="4" borderId="4" xfId="14" applyFont="1" applyFill="1" applyBorder="1">
      <alignment vertical="center"/>
    </xf>
    <xf numFmtId="0" fontId="18" fillId="4" borderId="4" xfId="10" applyFont="1" applyFill="1" applyBorder="1" applyAlignment="1">
      <alignment horizontal="center" vertical="center"/>
    </xf>
    <xf numFmtId="0" fontId="18" fillId="4" borderId="4" xfId="10" applyFont="1" applyFill="1" applyBorder="1" applyAlignment="1">
      <alignment vertical="center" wrapText="1"/>
    </xf>
    <xf numFmtId="0" fontId="23" fillId="4" borderId="4" xfId="10" applyFont="1" applyFill="1" applyBorder="1" applyAlignment="1">
      <alignment vertical="center" wrapText="1"/>
    </xf>
    <xf numFmtId="0" fontId="18" fillId="4" borderId="4" xfId="10" applyFont="1" applyFill="1" applyBorder="1" applyAlignment="1">
      <alignment vertical="center"/>
    </xf>
    <xf numFmtId="0" fontId="23" fillId="4" borderId="0" xfId="10" applyFont="1" applyFill="1" applyAlignment="1">
      <alignment vertical="center"/>
    </xf>
    <xf numFmtId="0" fontId="18" fillId="4" borderId="0" xfId="10" applyFont="1" applyFill="1" applyAlignment="1">
      <alignment vertical="center"/>
    </xf>
    <xf numFmtId="166" fontId="18" fillId="0" borderId="0" xfId="10" applyNumberFormat="1" applyFont="1" applyAlignment="1">
      <alignment vertical="center"/>
    </xf>
    <xf numFmtId="0" fontId="23" fillId="0" borderId="0" xfId="14" applyFont="1" applyAlignment="1">
      <alignment horizontal="left" vertical="center" wrapText="1"/>
    </xf>
    <xf numFmtId="0" fontId="25" fillId="0" borderId="0" xfId="10" applyFont="1" applyAlignment="1">
      <alignment horizontal="left" vertical="center"/>
    </xf>
    <xf numFmtId="0" fontId="18" fillId="0" borderId="0" xfId="0" applyFont="1" applyAlignment="1">
      <alignment vertical="center"/>
    </xf>
    <xf numFmtId="0" fontId="23" fillId="0" borderId="4" xfId="0" applyFont="1" applyBorder="1" applyAlignment="1">
      <alignment horizontal="center" vertical="center"/>
    </xf>
    <xf numFmtId="0" fontId="18" fillId="0" borderId="4" xfId="0" applyFont="1" applyBorder="1" applyAlignment="1">
      <alignment horizontal="center" vertical="center"/>
    </xf>
    <xf numFmtId="0" fontId="23" fillId="0" borderId="4" xfId="0" applyFont="1" applyBorder="1" applyAlignment="1">
      <alignment vertical="center"/>
    </xf>
    <xf numFmtId="0" fontId="18" fillId="0" borderId="4" xfId="0" applyFont="1" applyBorder="1" applyAlignment="1">
      <alignment vertical="center" wrapText="1"/>
    </xf>
    <xf numFmtId="0" fontId="26" fillId="0" borderId="4" xfId="0" applyFont="1" applyBorder="1" applyAlignment="1">
      <alignment vertical="center"/>
    </xf>
    <xf numFmtId="0" fontId="26" fillId="0" borderId="7" xfId="0" applyFont="1" applyBorder="1" applyAlignment="1">
      <alignment vertical="center"/>
    </xf>
    <xf numFmtId="0" fontId="27" fillId="0" borderId="4" xfId="0" applyFont="1" applyBorder="1" applyAlignment="1">
      <alignment horizontal="center" vertical="center"/>
    </xf>
    <xf numFmtId="0" fontId="26" fillId="0" borderId="4" xfId="0" applyFont="1" applyBorder="1" applyAlignment="1">
      <alignment horizontal="center" vertical="center"/>
    </xf>
    <xf numFmtId="0" fontId="26" fillId="0" borderId="7" xfId="0" applyFont="1" applyBorder="1" applyAlignment="1">
      <alignment horizontal="center" vertical="center"/>
    </xf>
    <xf numFmtId="0" fontId="28" fillId="0" borderId="0" xfId="10" applyFont="1" applyAlignment="1">
      <alignment vertical="center"/>
    </xf>
    <xf numFmtId="16" fontId="23" fillId="0" borderId="4" xfId="10" applyNumberFormat="1" applyFont="1" applyBorder="1" applyAlignment="1">
      <alignment horizontal="center" vertical="center" wrapText="1"/>
    </xf>
    <xf numFmtId="0" fontId="23" fillId="0" borderId="8" xfId="0" applyFont="1" applyBorder="1" applyAlignment="1">
      <alignment horizontal="center" vertical="center" wrapText="1"/>
    </xf>
    <xf numFmtId="0" fontId="23" fillId="0" borderId="8" xfId="0" applyFont="1" applyBorder="1" applyAlignment="1">
      <alignment horizontal="center" vertical="center"/>
    </xf>
    <xf numFmtId="0" fontId="18" fillId="0" borderId="8" xfId="0" applyFont="1" applyBorder="1" applyAlignment="1">
      <alignment horizontal="center" vertical="center" wrapText="1"/>
    </xf>
    <xf numFmtId="0" fontId="18" fillId="0" borderId="8" xfId="0" applyFont="1" applyBorder="1" applyAlignment="1">
      <alignment vertical="center" wrapText="1"/>
    </xf>
    <xf numFmtId="2" fontId="18" fillId="0" borderId="4" xfId="0" applyNumberFormat="1" applyFont="1" applyBorder="1" applyAlignment="1">
      <alignment vertical="center"/>
    </xf>
    <xf numFmtId="0" fontId="18" fillId="0" borderId="4" xfId="0" applyFont="1" applyBorder="1" applyAlignment="1">
      <alignment horizontal="center" vertical="center" wrapText="1"/>
    </xf>
    <xf numFmtId="1" fontId="18" fillId="0" borderId="4" xfId="0" applyNumberFormat="1" applyFont="1" applyBorder="1" applyAlignment="1">
      <alignment vertical="center"/>
    </xf>
    <xf numFmtId="0" fontId="23" fillId="0" borderId="9" xfId="0" applyFont="1" applyBorder="1" applyAlignment="1">
      <alignment vertical="center" wrapText="1"/>
    </xf>
    <xf numFmtId="2" fontId="23" fillId="0" borderId="4" xfId="0" applyNumberFormat="1" applyFont="1" applyBorder="1" applyAlignment="1">
      <alignment vertical="center"/>
    </xf>
    <xf numFmtId="0" fontId="23" fillId="0" borderId="4" xfId="0" applyFont="1" applyBorder="1" applyAlignment="1">
      <alignment vertical="center" wrapText="1"/>
    </xf>
    <xf numFmtId="2" fontId="18" fillId="0" borderId="4" xfId="10" applyNumberFormat="1" applyFont="1" applyBorder="1" applyAlignment="1">
      <alignment horizontal="center" vertical="center"/>
    </xf>
    <xf numFmtId="2" fontId="23" fillId="6" borderId="4" xfId="0" applyNumberFormat="1" applyFont="1" applyFill="1" applyBorder="1" applyAlignment="1">
      <alignment vertical="center"/>
    </xf>
    <xf numFmtId="2" fontId="23" fillId="0" borderId="4" xfId="10" applyNumberFormat="1" applyFont="1" applyBorder="1" applyAlignment="1">
      <alignment horizontal="center" vertical="center" wrapText="1"/>
    </xf>
    <xf numFmtId="2" fontId="18" fillId="0" borderId="4" xfId="10" applyNumberFormat="1" applyFont="1" applyBorder="1" applyAlignment="1">
      <alignment horizontal="center" vertical="center" wrapText="1"/>
    </xf>
    <xf numFmtId="2" fontId="23" fillId="6" borderId="4" xfId="14" applyNumberFormat="1" applyFont="1" applyFill="1" applyBorder="1">
      <alignment vertical="center"/>
    </xf>
    <xf numFmtId="2" fontId="23" fillId="6" borderId="4" xfId="10" applyNumberFormat="1" applyFont="1" applyFill="1" applyBorder="1" applyAlignment="1">
      <alignment vertical="center"/>
    </xf>
    <xf numFmtId="0" fontId="23" fillId="0" borderId="9" xfId="14" applyFont="1" applyBorder="1">
      <alignment vertical="center"/>
    </xf>
    <xf numFmtId="2" fontId="23" fillId="6" borderId="9" xfId="14" applyNumberFormat="1" applyFont="1" applyFill="1" applyBorder="1">
      <alignment vertical="center"/>
    </xf>
    <xf numFmtId="10" fontId="18" fillId="0" borderId="9" xfId="14" applyNumberFormat="1" applyFont="1" applyBorder="1">
      <alignment vertical="center"/>
    </xf>
    <xf numFmtId="2" fontId="18" fillId="0" borderId="9" xfId="14" applyNumberFormat="1" applyFont="1" applyBorder="1">
      <alignment vertical="center"/>
    </xf>
    <xf numFmtId="10" fontId="18" fillId="0" borderId="4" xfId="10" applyNumberFormat="1" applyFont="1" applyBorder="1" applyAlignment="1">
      <alignment vertical="center"/>
    </xf>
    <xf numFmtId="2" fontId="18" fillId="0" borderId="4" xfId="10" applyNumberFormat="1" applyFont="1" applyBorder="1" applyAlignment="1">
      <alignment vertical="center"/>
    </xf>
    <xf numFmtId="2" fontId="18" fillId="0" borderId="4" xfId="14" applyNumberFormat="1" applyFont="1" applyBorder="1" applyAlignment="1">
      <alignment horizontal="center" vertical="center"/>
    </xf>
    <xf numFmtId="2" fontId="23" fillId="6" borderId="4" xfId="14" applyNumberFormat="1" applyFont="1" applyFill="1" applyBorder="1" applyAlignment="1">
      <alignment horizontal="center" vertical="center"/>
    </xf>
    <xf numFmtId="2" fontId="18" fillId="0" borderId="4" xfId="14" applyNumberFormat="1" applyFont="1" applyBorder="1">
      <alignment vertical="center"/>
    </xf>
    <xf numFmtId="10" fontId="23" fillId="6" borderId="4" xfId="14" applyNumberFormat="1" applyFont="1" applyFill="1" applyBorder="1">
      <alignment vertical="center"/>
    </xf>
    <xf numFmtId="2" fontId="23" fillId="6" borderId="4" xfId="10" applyNumberFormat="1" applyFont="1" applyFill="1" applyBorder="1"/>
    <xf numFmtId="2" fontId="18" fillId="0" borderId="4" xfId="10" applyNumberFormat="1" applyFont="1" applyBorder="1" applyAlignment="1">
      <alignment horizontal="right" vertical="center"/>
    </xf>
    <xf numFmtId="2" fontId="23" fillId="0" borderId="4" xfId="14" applyNumberFormat="1" applyFont="1" applyBorder="1" applyAlignment="1">
      <alignment horizontal="center" vertical="center"/>
    </xf>
    <xf numFmtId="0" fontId="18" fillId="0" borderId="4" xfId="14" applyFont="1" applyBorder="1" applyAlignment="1">
      <alignment horizontal="right" vertical="center"/>
    </xf>
    <xf numFmtId="2" fontId="18" fillId="0" borderId="4" xfId="14" applyNumberFormat="1" applyFont="1" applyBorder="1" applyAlignment="1">
      <alignment horizontal="right" vertical="center"/>
    </xf>
    <xf numFmtId="0" fontId="18" fillId="0" borderId="4" xfId="10" applyFont="1" applyBorder="1" applyAlignment="1">
      <alignment horizontal="right" vertical="center" wrapText="1"/>
    </xf>
    <xf numFmtId="2" fontId="18" fillId="0" borderId="4" xfId="10" applyNumberFormat="1" applyFont="1" applyBorder="1" applyAlignment="1">
      <alignment horizontal="right" vertical="center" wrapText="1"/>
    </xf>
    <xf numFmtId="0" fontId="18" fillId="0" borderId="9" xfId="14" applyFont="1" applyBorder="1" applyAlignment="1">
      <alignment horizontal="right" vertical="center"/>
    </xf>
    <xf numFmtId="2" fontId="23" fillId="6" borderId="9" xfId="14" applyNumberFormat="1" applyFont="1" applyFill="1" applyBorder="1" applyAlignment="1">
      <alignment horizontal="right" vertical="center"/>
    </xf>
    <xf numFmtId="2" fontId="18" fillId="6" borderId="9" xfId="14" applyNumberFormat="1" applyFont="1" applyFill="1" applyBorder="1">
      <alignment vertical="center"/>
    </xf>
    <xf numFmtId="10" fontId="23" fillId="6" borderId="4" xfId="10" applyNumberFormat="1" applyFont="1" applyFill="1" applyBorder="1" applyAlignment="1">
      <alignment vertical="center"/>
    </xf>
    <xf numFmtId="0" fontId="23" fillId="0" borderId="3" xfId="14" applyFont="1" applyBorder="1" applyAlignment="1">
      <alignment horizontal="center" vertical="center" wrapText="1"/>
    </xf>
    <xf numFmtId="0" fontId="23" fillId="0" borderId="9" xfId="0" applyFont="1" applyBorder="1" applyAlignment="1">
      <alignment horizontal="center" vertical="center"/>
    </xf>
    <xf numFmtId="2" fontId="23" fillId="0" borderId="4" xfId="10" applyNumberFormat="1" applyFont="1" applyBorder="1" applyAlignment="1">
      <alignment vertical="top" wrapText="1"/>
    </xf>
    <xf numFmtId="2" fontId="23" fillId="0" borderId="4" xfId="14" applyNumberFormat="1" applyFont="1" applyBorder="1">
      <alignment vertical="center"/>
    </xf>
    <xf numFmtId="168" fontId="18" fillId="0" borderId="4" xfId="0" applyNumberFormat="1" applyFont="1" applyBorder="1" applyAlignment="1">
      <alignment vertical="center"/>
    </xf>
    <xf numFmtId="169" fontId="23" fillId="6" borderId="4" xfId="0" applyNumberFormat="1" applyFont="1" applyFill="1" applyBorder="1" applyAlignment="1">
      <alignment vertical="center"/>
    </xf>
    <xf numFmtId="169" fontId="18" fillId="0" borderId="4" xfId="0" applyNumberFormat="1" applyFont="1" applyBorder="1" applyAlignment="1">
      <alignment vertical="center"/>
    </xf>
    <xf numFmtId="10" fontId="18" fillId="0" borderId="0" xfId="14" applyNumberFormat="1" applyFont="1">
      <alignment vertical="center"/>
    </xf>
    <xf numFmtId="2" fontId="18" fillId="0" borderId="9" xfId="14" applyNumberFormat="1" applyFont="1" applyBorder="1" applyAlignment="1">
      <alignment horizontal="right" vertical="center"/>
    </xf>
    <xf numFmtId="2" fontId="18" fillId="6" borderId="4" xfId="10" applyNumberFormat="1" applyFont="1" applyFill="1" applyBorder="1" applyAlignment="1">
      <alignment horizontal="right" vertical="center"/>
    </xf>
    <xf numFmtId="2" fontId="18" fillId="6" borderId="4" xfId="10" applyNumberFormat="1" applyFont="1" applyFill="1" applyBorder="1" applyAlignment="1">
      <alignment horizontal="right" vertical="center" wrapText="1"/>
    </xf>
    <xf numFmtId="2" fontId="23" fillId="6" borderId="4" xfId="10" applyNumberFormat="1" applyFont="1" applyFill="1" applyBorder="1" applyAlignment="1">
      <alignment horizontal="right" vertical="center"/>
    </xf>
    <xf numFmtId="2" fontId="18" fillId="0" borderId="0" xfId="14" applyNumberFormat="1" applyFont="1">
      <alignment vertical="center"/>
    </xf>
    <xf numFmtId="170" fontId="18" fillId="0" borderId="0" xfId="14" applyNumberFormat="1" applyFont="1">
      <alignment vertical="center"/>
    </xf>
    <xf numFmtId="1" fontId="18" fillId="0" borderId="0" xfId="14" applyNumberFormat="1" applyFont="1">
      <alignment vertical="center"/>
    </xf>
    <xf numFmtId="4" fontId="18" fillId="0" borderId="0" xfId="10" applyNumberFormat="1" applyFont="1" applyAlignment="1">
      <alignment vertical="center"/>
    </xf>
    <xf numFmtId="164" fontId="18" fillId="0" borderId="4" xfId="70" applyFont="1" applyBorder="1"/>
    <xf numFmtId="164" fontId="26" fillId="0" borderId="4" xfId="70" applyFont="1" applyBorder="1"/>
    <xf numFmtId="164" fontId="18" fillId="0" borderId="4" xfId="70" applyFont="1" applyBorder="1" applyAlignment="1">
      <alignment horizontal="center" vertical="center"/>
    </xf>
    <xf numFmtId="164" fontId="18" fillId="0" borderId="4" xfId="70" applyFont="1" applyBorder="1" applyAlignment="1">
      <alignment vertical="center"/>
    </xf>
    <xf numFmtId="164" fontId="0" fillId="0" borderId="4" xfId="70" applyFont="1" applyBorder="1"/>
    <xf numFmtId="0" fontId="32" fillId="0" borderId="8" xfId="10" applyFont="1" applyBorder="1" applyAlignment="1">
      <alignment horizontal="center" vertical="center" wrapText="1"/>
    </xf>
    <xf numFmtId="0" fontId="32" fillId="0" borderId="4" xfId="10" applyFont="1" applyBorder="1" applyAlignment="1">
      <alignment vertical="center" wrapText="1"/>
    </xf>
    <xf numFmtId="0" fontId="32" fillId="0" borderId="4" xfId="10" applyFont="1" applyBorder="1" applyAlignment="1">
      <alignment horizontal="center" vertical="center" wrapText="1"/>
    </xf>
    <xf numFmtId="2" fontId="23" fillId="0" borderId="18" xfId="10" applyNumberFormat="1" applyFont="1" applyBorder="1" applyAlignment="1">
      <alignment vertical="center"/>
    </xf>
    <xf numFmtId="0" fontId="23" fillId="0" borderId="18" xfId="10" applyFont="1" applyBorder="1" applyAlignment="1">
      <alignment vertical="center" wrapText="1"/>
    </xf>
    <xf numFmtId="2" fontId="18" fillId="0" borderId="0" xfId="10" applyNumberFormat="1" applyFont="1" applyAlignment="1">
      <alignment horizontal="left" vertical="center"/>
    </xf>
    <xf numFmtId="2" fontId="23" fillId="6" borderId="13" xfId="19" applyNumberFormat="1" applyFont="1" applyFill="1" applyBorder="1" applyAlignment="1">
      <alignment horizontal="right" vertical="center"/>
    </xf>
    <xf numFmtId="164" fontId="18" fillId="0" borderId="0" xfId="10" applyNumberFormat="1" applyFont="1" applyAlignment="1">
      <alignment vertical="center"/>
    </xf>
    <xf numFmtId="0" fontId="18" fillId="4" borderId="12" xfId="67" applyFont="1" applyFill="1" applyBorder="1" applyAlignment="1">
      <alignment horizontal="right" vertical="center"/>
    </xf>
    <xf numFmtId="0" fontId="23" fillId="4" borderId="13" xfId="67" applyFont="1" applyFill="1" applyBorder="1" applyAlignment="1">
      <alignment horizontal="right" vertical="center"/>
    </xf>
    <xf numFmtId="0" fontId="10" fillId="0" borderId="4" xfId="14" applyFont="1" applyBorder="1" applyAlignment="1">
      <alignment vertical="center" wrapText="1"/>
    </xf>
    <xf numFmtId="2" fontId="18" fillId="0" borderId="0" xfId="10" applyNumberFormat="1" applyFont="1" applyAlignment="1">
      <alignment vertical="center"/>
    </xf>
    <xf numFmtId="2" fontId="23" fillId="6" borderId="4" xfId="14" applyNumberFormat="1" applyFont="1" applyFill="1" applyBorder="1" applyAlignment="1">
      <alignment horizontal="right" vertical="center"/>
    </xf>
    <xf numFmtId="2" fontId="23" fillId="5" borderId="4" xfId="14" applyNumberFormat="1" applyFont="1" applyFill="1" applyBorder="1" applyAlignment="1">
      <alignment horizontal="right" vertical="center"/>
    </xf>
    <xf numFmtId="2" fontId="23" fillId="0" borderId="4" xfId="14" applyNumberFormat="1" applyFont="1" applyBorder="1" applyAlignment="1">
      <alignment horizontal="right" vertical="center"/>
    </xf>
    <xf numFmtId="169" fontId="23" fillId="6" borderId="4" xfId="14" applyNumberFormat="1" applyFont="1" applyFill="1" applyBorder="1" applyAlignment="1">
      <alignment horizontal="right" vertical="center"/>
    </xf>
    <xf numFmtId="2" fontId="23" fillId="6" borderId="18" xfId="14" applyNumberFormat="1" applyFont="1" applyFill="1" applyBorder="1" applyAlignment="1">
      <alignment horizontal="right" vertical="center"/>
    </xf>
    <xf numFmtId="175" fontId="18" fillId="0" borderId="9" xfId="38" applyNumberFormat="1" applyFont="1" applyBorder="1" applyAlignment="1">
      <alignment vertical="center"/>
    </xf>
    <xf numFmtId="175" fontId="18" fillId="0" borderId="9" xfId="14" applyNumberFormat="1" applyFont="1" applyBorder="1">
      <alignment vertical="center"/>
    </xf>
    <xf numFmtId="175" fontId="23" fillId="6" borderId="9" xfId="14" applyNumberFormat="1" applyFont="1" applyFill="1" applyBorder="1">
      <alignment vertical="center"/>
    </xf>
    <xf numFmtId="0" fontId="23" fillId="0" borderId="18" xfId="14" applyFont="1" applyBorder="1" applyAlignment="1">
      <alignment horizontal="left" vertical="center" wrapText="1"/>
    </xf>
    <xf numFmtId="0" fontId="23" fillId="0" borderId="18" xfId="10" applyFont="1" applyBorder="1" applyAlignment="1">
      <alignment vertical="center"/>
    </xf>
    <xf numFmtId="0" fontId="23" fillId="0" borderId="18" xfId="14" applyFont="1" applyBorder="1" applyAlignment="1">
      <alignment vertical="center" wrapText="1"/>
    </xf>
    <xf numFmtId="0" fontId="0" fillId="0" borderId="18" xfId="0" applyBorder="1"/>
    <xf numFmtId="0" fontId="18" fillId="0" borderId="18" xfId="10" applyFont="1" applyBorder="1" applyAlignment="1">
      <alignment horizontal="center" vertical="center"/>
    </xf>
    <xf numFmtId="2" fontId="18" fillId="0" borderId="4" xfId="14" applyNumberFormat="1" applyFont="1" applyBorder="1" applyAlignment="1">
      <alignment horizontal="right" vertical="center" wrapText="1"/>
    </xf>
    <xf numFmtId="164" fontId="33" fillId="7" borderId="18" xfId="94" applyFont="1" applyFill="1" applyBorder="1"/>
    <xf numFmtId="2" fontId="34" fillId="0" borderId="18" xfId="0" applyNumberFormat="1" applyFont="1" applyBorder="1" applyAlignment="1">
      <alignment horizontal="center" vertical="center"/>
    </xf>
    <xf numFmtId="169" fontId="35" fillId="0" borderId="18" xfId="10" applyNumberFormat="1" applyFont="1" applyBorder="1" applyAlignment="1">
      <alignment horizontal="right" vertical="center"/>
    </xf>
    <xf numFmtId="2" fontId="35" fillId="0" borderId="18" xfId="10" applyNumberFormat="1" applyFont="1" applyBorder="1" applyAlignment="1">
      <alignment horizontal="right" vertical="center"/>
    </xf>
    <xf numFmtId="2" fontId="36" fillId="0" borderId="18" xfId="10" applyNumberFormat="1" applyFont="1" applyBorder="1" applyAlignment="1">
      <alignment horizontal="right" vertical="center"/>
    </xf>
    <xf numFmtId="0" fontId="23" fillId="4" borderId="8" xfId="67" applyFont="1" applyFill="1" applyBorder="1" applyAlignment="1">
      <alignment horizontal="center" vertical="center" wrapText="1"/>
    </xf>
    <xf numFmtId="0" fontId="23" fillId="4" borderId="19" xfId="67" applyFont="1" applyFill="1" applyBorder="1" applyAlignment="1">
      <alignment horizontal="center" vertical="center" wrapText="1"/>
    </xf>
    <xf numFmtId="0" fontId="18" fillId="4" borderId="18" xfId="67" applyFont="1" applyFill="1" applyBorder="1" applyAlignment="1">
      <alignment horizontal="center" vertical="center"/>
    </xf>
    <xf numFmtId="164" fontId="18" fillId="4" borderId="18" xfId="70" applyFont="1" applyFill="1" applyBorder="1" applyAlignment="1">
      <alignment horizontal="left" vertical="center"/>
    </xf>
    <xf numFmtId="0" fontId="18" fillId="4" borderId="18" xfId="70" applyNumberFormat="1" applyFont="1" applyFill="1" applyBorder="1" applyAlignment="1">
      <alignment horizontal="right" vertical="center"/>
    </xf>
    <xf numFmtId="164" fontId="18" fillId="4" borderId="18" xfId="70" applyFont="1" applyFill="1" applyBorder="1" applyAlignment="1">
      <alignment horizontal="right" vertical="center"/>
    </xf>
    <xf numFmtId="164" fontId="26" fillId="0" borderId="18" xfId="70" applyFont="1" applyBorder="1"/>
    <xf numFmtId="164" fontId="18" fillId="0" borderId="18" xfId="70" applyFont="1" applyBorder="1"/>
    <xf numFmtId="0" fontId="18" fillId="4" borderId="18" xfId="67" applyFont="1" applyFill="1" applyBorder="1" applyAlignment="1">
      <alignment horizontal="right" vertical="center"/>
    </xf>
    <xf numFmtId="0" fontId="23" fillId="4" borderId="18" xfId="67" applyFont="1" applyFill="1" applyBorder="1" applyAlignment="1">
      <alignment horizontal="right" vertical="center"/>
    </xf>
    <xf numFmtId="2" fontId="23" fillId="6" borderId="18" xfId="19" applyNumberFormat="1" applyFont="1" applyFill="1" applyBorder="1" applyAlignment="1">
      <alignment horizontal="right" vertical="center"/>
    </xf>
    <xf numFmtId="0" fontId="23" fillId="0" borderId="18" xfId="0" applyFont="1" applyBorder="1" applyAlignment="1">
      <alignment horizontal="center" vertical="center"/>
    </xf>
    <xf numFmtId="0" fontId="33" fillId="0" borderId="18" xfId="0" applyFont="1" applyBorder="1" applyAlignment="1">
      <alignment vertical="center"/>
    </xf>
    <xf numFmtId="0" fontId="33" fillId="0" borderId="18" xfId="0" applyFont="1" applyBorder="1" applyAlignment="1">
      <alignment horizontal="center"/>
    </xf>
    <xf numFmtId="0" fontId="23" fillId="0" borderId="18" xfId="0" applyFont="1" applyBorder="1" applyAlignment="1">
      <alignment vertical="center"/>
    </xf>
    <xf numFmtId="0" fontId="18" fillId="0" borderId="18" xfId="0" applyFont="1" applyBorder="1" applyAlignment="1">
      <alignment horizontal="center" vertical="center"/>
    </xf>
    <xf numFmtId="0" fontId="18" fillId="0" borderId="18" xfId="0" applyFont="1" applyBorder="1" applyAlignment="1">
      <alignment vertical="center"/>
    </xf>
    <xf numFmtId="0" fontId="0" fillId="0" borderId="18" xfId="0" applyBorder="1" applyAlignment="1">
      <alignment horizontal="center"/>
    </xf>
    <xf numFmtId="0" fontId="11" fillId="0" borderId="18" xfId="0" applyFont="1" applyBorder="1" applyAlignment="1">
      <alignment horizontal="center" vertical="center"/>
    </xf>
    <xf numFmtId="1" fontId="11" fillId="0" borderId="18" xfId="0" applyNumberFormat="1" applyFont="1" applyBorder="1" applyAlignment="1">
      <alignment vertical="center"/>
    </xf>
    <xf numFmtId="2" fontId="0" fillId="0" borderId="18" xfId="0" applyNumberFormat="1" applyBorder="1" applyAlignment="1">
      <alignment horizontal="center"/>
    </xf>
    <xf numFmtId="2" fontId="11" fillId="0" borderId="18" xfId="0" applyNumberFormat="1" applyFont="1" applyBorder="1" applyAlignment="1">
      <alignment vertical="center"/>
    </xf>
    <xf numFmtId="0" fontId="11" fillId="0" borderId="18" xfId="0" applyFont="1" applyBorder="1" applyAlignment="1">
      <alignment vertical="center"/>
    </xf>
    <xf numFmtId="2" fontId="0" fillId="0" borderId="18" xfId="0" applyNumberFormat="1" applyBorder="1"/>
    <xf numFmtId="0" fontId="23" fillId="0" borderId="0" xfId="0" applyFont="1" applyAlignment="1">
      <alignment vertical="center"/>
    </xf>
    <xf numFmtId="0" fontId="18" fillId="0" borderId="0" xfId="0" applyFont="1" applyAlignment="1">
      <alignment horizontal="center" vertical="center"/>
    </xf>
    <xf numFmtId="169" fontId="11" fillId="0" borderId="18" xfId="0" applyNumberFormat="1" applyFont="1" applyBorder="1" applyAlignment="1">
      <alignment vertical="center"/>
    </xf>
    <xf numFmtId="169" fontId="23" fillId="6" borderId="18" xfId="0" applyNumberFormat="1" applyFont="1" applyFill="1" applyBorder="1" applyAlignment="1">
      <alignment vertical="center"/>
    </xf>
    <xf numFmtId="169" fontId="18" fillId="0" borderId="18" xfId="0" applyNumberFormat="1" applyFont="1" applyBorder="1" applyAlignment="1">
      <alignment vertical="center"/>
    </xf>
    <xf numFmtId="0" fontId="18" fillId="0" borderId="18" xfId="0" applyFont="1" applyBorder="1" applyAlignment="1">
      <alignment vertical="center" wrapText="1"/>
    </xf>
    <xf numFmtId="169" fontId="0" fillId="0" borderId="18" xfId="0" applyNumberFormat="1" applyBorder="1" applyAlignment="1">
      <alignment horizontal="center"/>
    </xf>
    <xf numFmtId="169" fontId="0" fillId="0" borderId="18" xfId="0" applyNumberFormat="1" applyBorder="1"/>
    <xf numFmtId="169" fontId="18" fillId="0" borderId="18" xfId="0" applyNumberFormat="1" applyFont="1" applyBorder="1" applyAlignment="1">
      <alignment horizontal="center" vertical="center"/>
    </xf>
    <xf numFmtId="0" fontId="23" fillId="0" borderId="18" xfId="14" applyFont="1" applyBorder="1" applyAlignment="1">
      <alignment horizontal="center" vertical="center" wrapText="1"/>
    </xf>
    <xf numFmtId="0" fontId="23" fillId="0" borderId="18" xfId="10" applyFont="1" applyBorder="1" applyAlignment="1">
      <alignment horizontal="center" vertical="center" wrapText="1"/>
    </xf>
    <xf numFmtId="16" fontId="23" fillId="0" borderId="18" xfId="10" applyNumberFormat="1" applyFont="1" applyBorder="1" applyAlignment="1">
      <alignment horizontal="center" vertical="center" wrapText="1"/>
    </xf>
    <xf numFmtId="0" fontId="18" fillId="0" borderId="18" xfId="10" applyFont="1" applyBorder="1" applyAlignment="1">
      <alignment horizontal="center" vertical="center" wrapText="1"/>
    </xf>
    <xf numFmtId="0" fontId="18" fillId="0" borderId="18" xfId="10" applyFont="1" applyBorder="1" applyAlignment="1">
      <alignment horizontal="left" vertical="center" wrapText="1"/>
    </xf>
    <xf numFmtId="2" fontId="23" fillId="6" borderId="18" xfId="10" applyNumberFormat="1" applyFont="1" applyFill="1" applyBorder="1" applyAlignment="1">
      <alignment vertical="center"/>
    </xf>
    <xf numFmtId="0" fontId="23" fillId="0" borderId="18" xfId="10" applyFont="1" applyBorder="1" applyAlignment="1">
      <alignment horizontal="right" vertical="center"/>
    </xf>
    <xf numFmtId="2" fontId="27" fillId="0" borderId="18" xfId="10" applyNumberFormat="1" applyFont="1" applyBorder="1" applyAlignment="1">
      <alignment vertical="center"/>
    </xf>
    <xf numFmtId="0" fontId="18" fillId="0" borderId="18" xfId="10" applyFont="1" applyBorder="1" applyAlignment="1">
      <alignment vertical="center"/>
    </xf>
    <xf numFmtId="0" fontId="27" fillId="0" borderId="18" xfId="10" applyFont="1" applyBorder="1" applyAlignment="1">
      <alignment vertical="center"/>
    </xf>
    <xf numFmtId="0" fontId="18" fillId="0" borderId="0" xfId="14" applyFont="1" applyAlignment="1">
      <alignment horizontal="centerContinuous" vertical="center"/>
    </xf>
    <xf numFmtId="0" fontId="18" fillId="0" borderId="18" xfId="14" quotePrefix="1" applyFont="1" applyBorder="1" applyAlignment="1">
      <alignment horizontal="center" vertical="center" wrapText="1"/>
    </xf>
    <xf numFmtId="0" fontId="18" fillId="0" borderId="18" xfId="14" applyFont="1" applyBorder="1" applyAlignment="1">
      <alignment horizontal="center" vertical="center" wrapText="1"/>
    </xf>
    <xf numFmtId="0" fontId="18" fillId="0" borderId="18" xfId="14" applyFont="1" applyBorder="1" applyAlignment="1">
      <alignment horizontal="left" vertical="center" wrapText="1"/>
    </xf>
    <xf numFmtId="0" fontId="18" fillId="0" borderId="18" xfId="14" applyFont="1" applyBorder="1" applyAlignment="1">
      <alignment vertical="center" wrapText="1"/>
    </xf>
    <xf numFmtId="0" fontId="18" fillId="0" borderId="0" xfId="14" quotePrefix="1" applyFont="1" applyAlignment="1">
      <alignment horizontal="center" vertical="center" wrapText="1"/>
    </xf>
    <xf numFmtId="0" fontId="18" fillId="0" borderId="0" xfId="10" applyFont="1" applyAlignment="1">
      <alignment horizontal="center" vertical="center" wrapText="1"/>
    </xf>
    <xf numFmtId="0" fontId="18" fillId="0" borderId="0" xfId="10" applyFont="1" applyAlignment="1">
      <alignment horizontal="justify" vertical="center" wrapText="1"/>
    </xf>
    <xf numFmtId="164" fontId="2" fillId="0" borderId="18" xfId="460" applyFont="1" applyBorder="1"/>
    <xf numFmtId="164" fontId="2" fillId="0" borderId="18" xfId="474" applyNumberFormat="1" applyBorder="1"/>
    <xf numFmtId="164" fontId="2" fillId="0" borderId="18" xfId="481" applyNumberFormat="1" applyBorder="1"/>
    <xf numFmtId="164" fontId="2" fillId="0" borderId="18" xfId="70" applyFont="1" applyBorder="1"/>
    <xf numFmtId="164" fontId="2" fillId="0" borderId="18" xfId="482" applyNumberFormat="1" applyBorder="1"/>
    <xf numFmtId="164" fontId="38" fillId="0" borderId="18" xfId="482" applyNumberFormat="1" applyFont="1" applyBorder="1"/>
    <xf numFmtId="164" fontId="18" fillId="0" borderId="18" xfId="14" applyNumberFormat="1" applyFont="1" applyBorder="1">
      <alignment vertical="center"/>
    </xf>
    <xf numFmtId="0" fontId="40" fillId="0" borderId="18" xfId="10" applyFont="1" applyBorder="1" applyAlignment="1">
      <alignment vertical="center"/>
    </xf>
    <xf numFmtId="0" fontId="40" fillId="0" borderId="0" xfId="10" applyFont="1" applyAlignment="1">
      <alignment vertical="center"/>
    </xf>
    <xf numFmtId="2" fontId="40" fillId="0" borderId="18" xfId="10" applyNumberFormat="1" applyFont="1" applyBorder="1" applyAlignment="1">
      <alignment vertical="center"/>
    </xf>
    <xf numFmtId="0" fontId="10" fillId="0" borderId="18" xfId="14" applyFont="1" applyBorder="1" applyAlignment="1">
      <alignment vertical="center" wrapText="1"/>
    </xf>
    <xf numFmtId="0" fontId="40" fillId="0" borderId="18" xfId="14" applyFont="1" applyBorder="1" applyAlignment="1">
      <alignment vertical="center" wrapText="1"/>
    </xf>
    <xf numFmtId="2" fontId="34" fillId="0" borderId="18" xfId="0" applyNumberFormat="1" applyFont="1" applyBorder="1"/>
    <xf numFmtId="2" fontId="40" fillId="0" borderId="18" xfId="14" applyNumberFormat="1" applyFont="1" applyBorder="1" applyAlignment="1">
      <alignment vertical="center" wrapText="1"/>
    </xf>
    <xf numFmtId="1" fontId="40" fillId="0" borderId="18" xfId="14" applyNumberFormat="1" applyFont="1" applyBorder="1" applyAlignment="1">
      <alignment vertical="center" wrapText="1"/>
    </xf>
    <xf numFmtId="0" fontId="10" fillId="0" borderId="18" xfId="14" quotePrefix="1" applyFont="1" applyBorder="1" applyAlignment="1">
      <alignment vertical="center" wrapText="1"/>
    </xf>
    <xf numFmtId="0" fontId="40" fillId="0" borderId="18" xfId="14" quotePrefix="1" applyFont="1" applyBorder="1" applyAlignment="1">
      <alignment vertical="center" wrapText="1"/>
    </xf>
    <xf numFmtId="0" fontId="18" fillId="0" borderId="18" xfId="0" applyFont="1" applyBorder="1"/>
    <xf numFmtId="10" fontId="26" fillId="0" borderId="18" xfId="0" applyNumberFormat="1" applyFont="1" applyBorder="1"/>
    <xf numFmtId="10" fontId="23" fillId="0" borderId="18" xfId="67" applyNumberFormat="1" applyFont="1" applyBorder="1" applyAlignment="1">
      <alignment horizontal="right" vertical="center"/>
    </xf>
    <xf numFmtId="0" fontId="18" fillId="0" borderId="4" xfId="0" applyFont="1" applyBorder="1"/>
    <xf numFmtId="10" fontId="26" fillId="0" borderId="4" xfId="0" applyNumberFormat="1" applyFont="1" applyBorder="1"/>
    <xf numFmtId="10" fontId="23" fillId="0" borderId="13" xfId="67" applyNumberFormat="1" applyFont="1" applyBorder="1" applyAlignment="1">
      <alignment horizontal="right" vertical="center"/>
    </xf>
    <xf numFmtId="0" fontId="23" fillId="0" borderId="0" xfId="10" applyFont="1" applyAlignment="1">
      <alignment horizontal="center" vertical="center"/>
    </xf>
    <xf numFmtId="0" fontId="23" fillId="0" borderId="0" xfId="10" applyFont="1" applyAlignment="1">
      <alignment horizontal="left" vertical="center"/>
    </xf>
    <xf numFmtId="0" fontId="23" fillId="0" borderId="18" xfId="14" applyFont="1" applyBorder="1" applyAlignment="1">
      <alignment horizontal="center" vertical="center" wrapText="1"/>
    </xf>
    <xf numFmtId="0" fontId="15" fillId="0" borderId="0" xfId="14" applyFont="1" applyAlignment="1">
      <alignment horizontal="center" vertical="center"/>
    </xf>
    <xf numFmtId="0" fontId="10" fillId="0" borderId="0" xfId="10" applyFont="1" applyAlignment="1">
      <alignment horizontal="center" vertical="center"/>
    </xf>
    <xf numFmtId="0" fontId="15" fillId="0" borderId="0" xfId="10" applyFont="1" applyAlignment="1">
      <alignment horizontal="center" vertical="center" wrapText="1"/>
    </xf>
    <xf numFmtId="0" fontId="10" fillId="0" borderId="0" xfId="10" applyFont="1" applyAlignment="1">
      <alignment horizontal="center" vertical="center" wrapText="1"/>
    </xf>
    <xf numFmtId="0" fontId="23" fillId="0" borderId="8" xfId="14" applyFont="1" applyBorder="1" applyAlignment="1">
      <alignment horizontal="center" vertical="center"/>
    </xf>
    <xf numFmtId="0" fontId="23" fillId="0" borderId="10" xfId="14" applyFont="1" applyBorder="1" applyAlignment="1">
      <alignment horizontal="center" vertical="center"/>
    </xf>
    <xf numFmtId="0" fontId="23" fillId="0" borderId="7" xfId="14" applyFont="1" applyBorder="1" applyAlignment="1">
      <alignment horizontal="center" vertical="center"/>
    </xf>
    <xf numFmtId="0" fontId="23" fillId="0" borderId="8" xfId="14" applyFont="1" applyBorder="1" applyAlignment="1">
      <alignment horizontal="center" vertical="center" wrapText="1"/>
    </xf>
    <xf numFmtId="0" fontId="23" fillId="0" borderId="10" xfId="14" applyFont="1" applyBorder="1" applyAlignment="1">
      <alignment horizontal="center" vertical="center" wrapText="1"/>
    </xf>
    <xf numFmtId="0" fontId="18" fillId="0" borderId="7" xfId="10" applyFont="1" applyBorder="1" applyAlignment="1">
      <alignment horizontal="center" vertical="center" wrapText="1"/>
    </xf>
    <xf numFmtId="0" fontId="23" fillId="0" borderId="4" xfId="14" applyFont="1" applyBorder="1" applyAlignment="1">
      <alignment horizontal="center" vertical="center"/>
    </xf>
    <xf numFmtId="0" fontId="18" fillId="0" borderId="4" xfId="10" applyFont="1" applyBorder="1" applyAlignment="1">
      <alignment horizontal="center" vertical="center"/>
    </xf>
    <xf numFmtId="0" fontId="23" fillId="0" borderId="4" xfId="14" applyFont="1" applyBorder="1" applyAlignment="1">
      <alignment horizontal="center" vertical="center" wrapText="1"/>
    </xf>
    <xf numFmtId="0" fontId="18" fillId="0" borderId="4" xfId="10" applyFont="1" applyBorder="1" applyAlignment="1">
      <alignment horizontal="center" vertical="center" wrapText="1"/>
    </xf>
    <xf numFmtId="0" fontId="23" fillId="0" borderId="6" xfId="14" applyFont="1" applyBorder="1" applyAlignment="1">
      <alignment horizontal="center" vertical="center" wrapText="1"/>
    </xf>
    <xf numFmtId="0" fontId="23" fillId="0" borderId="3" xfId="14" applyFont="1" applyBorder="1" applyAlignment="1">
      <alignment horizontal="center" vertical="center" wrapText="1"/>
    </xf>
    <xf numFmtId="0" fontId="23" fillId="0" borderId="9" xfId="14" applyFont="1" applyBorder="1" applyAlignment="1">
      <alignment horizontal="center" vertical="center" wrapText="1"/>
    </xf>
    <xf numFmtId="0" fontId="23" fillId="0" borderId="0" xfId="10" applyFont="1" applyAlignment="1">
      <alignment horizontal="center" vertical="center"/>
    </xf>
    <xf numFmtId="0" fontId="23" fillId="0" borderId="0" xfId="10" applyFont="1" applyAlignment="1">
      <alignment horizontal="left" vertical="center"/>
    </xf>
    <xf numFmtId="0" fontId="23" fillId="0" borderId="4" xfId="10" applyFont="1" applyBorder="1" applyAlignment="1">
      <alignment horizontal="center" vertical="center" wrapText="1"/>
    </xf>
    <xf numFmtId="0" fontId="23" fillId="0" borderId="8" xfId="10" applyFont="1" applyBorder="1" applyAlignment="1">
      <alignment horizontal="center" vertical="center" wrapText="1"/>
    </xf>
    <xf numFmtId="0" fontId="23" fillId="0" borderId="10" xfId="10" applyFont="1" applyBorder="1" applyAlignment="1">
      <alignment horizontal="center" vertical="center" wrapText="1"/>
    </xf>
    <xf numFmtId="0" fontId="23" fillId="0" borderId="7" xfId="10" applyFont="1" applyBorder="1" applyAlignment="1">
      <alignment horizontal="center" vertical="center" wrapText="1"/>
    </xf>
    <xf numFmtId="0" fontId="18" fillId="0" borderId="4" xfId="10" applyFont="1" applyBorder="1" applyAlignment="1">
      <alignment vertical="center"/>
    </xf>
    <xf numFmtId="0" fontId="23" fillId="0" borderId="4" xfId="10" applyFont="1" applyBorder="1" applyAlignment="1">
      <alignment horizontal="center" vertical="center"/>
    </xf>
    <xf numFmtId="0" fontId="23" fillId="4" borderId="15" xfId="67" applyFont="1" applyFill="1" applyBorder="1" applyAlignment="1">
      <alignment horizontal="center" vertical="center"/>
    </xf>
    <xf numFmtId="0" fontId="23" fillId="4" borderId="16" xfId="67" applyFont="1" applyFill="1" applyBorder="1" applyAlignment="1">
      <alignment horizontal="center" vertical="center"/>
    </xf>
    <xf numFmtId="0" fontId="23" fillId="4" borderId="17" xfId="67" applyFont="1" applyFill="1" applyBorder="1" applyAlignment="1">
      <alignment horizontal="center" vertical="center"/>
    </xf>
    <xf numFmtId="0" fontId="23" fillId="4" borderId="5" xfId="67" applyFont="1" applyFill="1" applyBorder="1" applyAlignment="1">
      <alignment horizontal="center" vertical="center" wrapText="1"/>
    </xf>
    <xf numFmtId="0" fontId="23" fillId="4" borderId="12" xfId="67" applyFont="1" applyFill="1" applyBorder="1" applyAlignment="1">
      <alignment horizontal="center" vertical="center" wrapText="1"/>
    </xf>
    <xf numFmtId="0" fontId="23" fillId="4" borderId="4" xfId="67" quotePrefix="1" applyFont="1" applyFill="1" applyBorder="1" applyAlignment="1">
      <alignment horizontal="center" vertical="center" wrapText="1"/>
    </xf>
    <xf numFmtId="0" fontId="23" fillId="4" borderId="13" xfId="67" quotePrefix="1" applyFont="1" applyFill="1" applyBorder="1" applyAlignment="1">
      <alignment horizontal="center" vertical="center" wrapText="1"/>
    </xf>
    <xf numFmtId="0" fontId="23" fillId="4" borderId="4" xfId="67" applyFont="1" applyFill="1" applyBorder="1" applyAlignment="1">
      <alignment horizontal="center" vertical="center" wrapText="1"/>
    </xf>
    <xf numFmtId="0" fontId="23" fillId="4" borderId="13" xfId="67" applyFont="1" applyFill="1" applyBorder="1" applyAlignment="1">
      <alignment horizontal="center" vertical="center" wrapText="1"/>
    </xf>
    <xf numFmtId="0" fontId="23" fillId="0" borderId="4" xfId="67" applyFont="1" applyBorder="1" applyAlignment="1">
      <alignment horizontal="center" vertical="center" wrapText="1"/>
    </xf>
    <xf numFmtId="0" fontId="23" fillId="0" borderId="13" xfId="67" applyFont="1" applyBorder="1" applyAlignment="1">
      <alignment horizontal="center" vertical="center" wrapText="1"/>
    </xf>
    <xf numFmtId="0" fontId="23" fillId="4" borderId="11" xfId="67" applyFont="1" applyFill="1" applyBorder="1" applyAlignment="1">
      <alignment horizontal="center" vertical="center" wrapText="1"/>
    </xf>
    <xf numFmtId="0" fontId="23" fillId="4" borderId="20" xfId="67" applyFont="1" applyFill="1" applyBorder="1" applyAlignment="1">
      <alignment horizontal="center" vertical="center" wrapText="1"/>
    </xf>
    <xf numFmtId="0" fontId="23" fillId="4" borderId="8" xfId="67" quotePrefix="1" applyFont="1" applyFill="1" applyBorder="1" applyAlignment="1">
      <alignment horizontal="center" vertical="center" wrapText="1"/>
    </xf>
    <xf numFmtId="0" fontId="23" fillId="4" borderId="8" xfId="67" applyFont="1" applyFill="1" applyBorder="1" applyAlignment="1">
      <alignment horizontal="center" vertical="center" wrapText="1"/>
    </xf>
    <xf numFmtId="0" fontId="23" fillId="0" borderId="8" xfId="67" applyFont="1" applyBorder="1" applyAlignment="1">
      <alignment horizontal="center" vertical="center" wrapText="1"/>
    </xf>
    <xf numFmtId="0" fontId="23" fillId="0" borderId="3" xfId="10" applyFont="1" applyBorder="1" applyAlignment="1">
      <alignment horizontal="center" vertical="center"/>
    </xf>
    <xf numFmtId="0" fontId="23" fillId="0" borderId="9" xfId="10" applyFont="1" applyBorder="1" applyAlignment="1">
      <alignment horizontal="center" vertical="center"/>
    </xf>
    <xf numFmtId="0" fontId="11" fillId="0" borderId="4" xfId="10" applyBorder="1" applyAlignment="1">
      <alignment horizontal="center" vertical="center" wrapText="1"/>
    </xf>
    <xf numFmtId="0" fontId="11" fillId="0" borderId="4" xfId="10" applyBorder="1" applyAlignment="1">
      <alignment horizontal="center" vertical="center"/>
    </xf>
    <xf numFmtId="0" fontId="23" fillId="0" borderId="18" xfId="14" applyFont="1" applyBorder="1" applyAlignment="1">
      <alignment horizontal="center" vertical="center" wrapText="1"/>
    </xf>
    <xf numFmtId="0" fontId="18" fillId="0" borderId="18" xfId="10" applyFont="1" applyBorder="1" applyAlignment="1">
      <alignment horizontal="center" vertical="center" wrapText="1"/>
    </xf>
    <xf numFmtId="0" fontId="23" fillId="0" borderId="18" xfId="14" quotePrefix="1" applyFont="1" applyBorder="1" applyAlignment="1">
      <alignment horizontal="center" vertical="center" wrapText="1"/>
    </xf>
    <xf numFmtId="0" fontId="23" fillId="0" borderId="18" xfId="0" applyFont="1" applyBorder="1" applyAlignment="1">
      <alignment horizontal="center" vertical="center"/>
    </xf>
    <xf numFmtId="0" fontId="37" fillId="0" borderId="0" xfId="14" applyFont="1" applyAlignment="1">
      <alignment horizontal="center" vertical="center"/>
    </xf>
    <xf numFmtId="0" fontId="37" fillId="0" borderId="0" xfId="10" applyFont="1" applyAlignment="1">
      <alignment horizontal="center" vertical="center"/>
    </xf>
    <xf numFmtId="17" fontId="23" fillId="0" borderId="6" xfId="0" applyNumberFormat="1" applyFont="1" applyBorder="1" applyAlignment="1">
      <alignment horizontal="center" vertical="center"/>
    </xf>
    <xf numFmtId="17" fontId="23" fillId="0" borderId="3" xfId="0" applyNumberFormat="1" applyFont="1" applyBorder="1" applyAlignment="1">
      <alignment horizontal="center" vertical="center"/>
    </xf>
    <xf numFmtId="2" fontId="0" fillId="0" borderId="6" xfId="0" applyNumberFormat="1" applyBorder="1" applyAlignment="1">
      <alignment horizontal="center"/>
    </xf>
    <xf numFmtId="2" fontId="0" fillId="0" borderId="9" xfId="0" applyNumberFormat="1" applyBorder="1" applyAlignment="1">
      <alignment horizontal="center"/>
    </xf>
    <xf numFmtId="1" fontId="11" fillId="0" borderId="18" xfId="0" applyNumberFormat="1" applyFont="1" applyBorder="1" applyAlignment="1">
      <alignment horizontal="center" vertical="center"/>
    </xf>
    <xf numFmtId="0" fontId="23" fillId="0" borderId="4" xfId="0" applyFont="1" applyBorder="1" applyAlignment="1">
      <alignment horizontal="center" vertical="center"/>
    </xf>
    <xf numFmtId="0" fontId="23" fillId="0" borderId="6" xfId="10" applyFont="1" applyBorder="1" applyAlignment="1">
      <alignment horizontal="center" vertical="center"/>
    </xf>
    <xf numFmtId="0" fontId="18" fillId="0" borderId="6" xfId="10" applyFont="1" applyBorder="1" applyAlignment="1">
      <alignment horizontal="center" vertical="center"/>
    </xf>
    <xf numFmtId="0" fontId="18" fillId="0" borderId="3" xfId="10" applyFont="1" applyBorder="1" applyAlignment="1">
      <alignment horizontal="center" vertical="center"/>
    </xf>
    <xf numFmtId="0" fontId="18" fillId="0" borderId="9" xfId="10" applyFont="1" applyBorder="1" applyAlignment="1">
      <alignment horizontal="center" vertical="center"/>
    </xf>
    <xf numFmtId="0" fontId="23" fillId="0" borderId="0" xfId="14" applyFont="1" applyAlignment="1">
      <alignment horizontal="center" vertical="center"/>
    </xf>
    <xf numFmtId="0" fontId="23" fillId="0" borderId="18" xfId="10" applyFont="1" applyBorder="1" applyAlignment="1">
      <alignment horizontal="center" vertical="center"/>
    </xf>
    <xf numFmtId="0" fontId="23" fillId="0" borderId="18" xfId="10" applyFont="1" applyBorder="1" applyAlignment="1">
      <alignment horizontal="left" vertical="center" wrapText="1"/>
    </xf>
    <xf numFmtId="0" fontId="23" fillId="0" borderId="18" xfId="10" applyFont="1" applyBorder="1" applyAlignment="1">
      <alignment horizontal="left" vertical="center"/>
    </xf>
    <xf numFmtId="2" fontId="23" fillId="0" borderId="18" xfId="10" applyNumberFormat="1" applyFont="1" applyBorder="1" applyAlignment="1">
      <alignment horizontal="center" vertical="center"/>
    </xf>
    <xf numFmtId="0" fontId="11" fillId="0" borderId="18" xfId="10" applyFont="1" applyFill="1" applyBorder="1" applyAlignment="1">
      <alignment horizontal="center" vertical="center" wrapText="1"/>
    </xf>
    <xf numFmtId="0" fontId="11" fillId="0" borderId="18" xfId="10" applyFont="1" applyFill="1" applyBorder="1" applyAlignment="1">
      <alignment vertical="center" wrapText="1"/>
    </xf>
    <xf numFmtId="2" fontId="33" fillId="0" borderId="18" xfId="10" applyNumberFormat="1" applyFont="1" applyFill="1" applyBorder="1" applyAlignment="1">
      <alignment horizontal="center" vertical="center" wrapText="1"/>
    </xf>
    <xf numFmtId="0" fontId="11" fillId="0" borderId="18" xfId="10" applyFont="1" applyFill="1" applyBorder="1" applyAlignment="1">
      <alignment horizontal="left" vertical="top" wrapText="1"/>
    </xf>
    <xf numFmtId="0" fontId="11" fillId="0" borderId="18" xfId="10" applyFont="1" applyBorder="1" applyAlignment="1">
      <alignment horizontal="center" vertical="center" wrapText="1"/>
    </xf>
    <xf numFmtId="0" fontId="18" fillId="0" borderId="6" xfId="10" applyFont="1" applyBorder="1" applyAlignment="1">
      <alignment vertical="center"/>
    </xf>
    <xf numFmtId="0" fontId="11" fillId="0" borderId="18" xfId="10" applyFont="1" applyFill="1" applyBorder="1" applyAlignment="1">
      <alignment horizontal="left" vertical="center" wrapText="1"/>
    </xf>
    <xf numFmtId="0" fontId="11" fillId="0" borderId="18" xfId="10" applyFont="1" applyFill="1" applyBorder="1" applyAlignment="1">
      <alignment horizontal="center" vertical="center"/>
    </xf>
    <xf numFmtId="0" fontId="11" fillId="0" borderId="18" xfId="10" applyFont="1" applyFill="1" applyBorder="1" applyAlignment="1">
      <alignment vertical="top" wrapText="1"/>
    </xf>
    <xf numFmtId="2" fontId="33" fillId="0" borderId="18" xfId="10" applyNumberFormat="1" applyFont="1" applyFill="1" applyBorder="1" applyAlignment="1">
      <alignment horizontal="center" vertical="top" wrapText="1"/>
    </xf>
  </cellXfs>
  <cellStyles count="486">
    <cellStyle name="Body" xfId="1"/>
    <cellStyle name="Comma" xfId="70" builtinId="3"/>
    <cellStyle name="Comma  - Style1" xfId="2"/>
    <cellStyle name="Comma 10" xfId="94"/>
    <cellStyle name="Comma 10 2" xfId="95"/>
    <cellStyle name="Comma 10 3" xfId="251"/>
    <cellStyle name="Comma 10 4" xfId="264"/>
    <cellStyle name="Comma 10 5" xfId="469"/>
    <cellStyle name="Comma 11" xfId="96"/>
    <cellStyle name="Comma 11 2" xfId="19"/>
    <cellStyle name="Comma 11 2 10" xfId="435"/>
    <cellStyle name="Comma 11 2 11" xfId="471"/>
    <cellStyle name="Comma 11 2 2" xfId="97"/>
    <cellStyle name="Comma 11 2 2 2" xfId="98"/>
    <cellStyle name="Comma 11 2 2 3" xfId="92"/>
    <cellStyle name="Comma 11 2 2 4" xfId="347"/>
    <cellStyle name="Comma 11 2 2 5" xfId="366"/>
    <cellStyle name="Comma 11 2 2 6" xfId="384"/>
    <cellStyle name="Comma 11 2 2 7" xfId="400"/>
    <cellStyle name="Comma 11 2 2 8" xfId="416"/>
    <cellStyle name="Comma 11 2 3" xfId="208"/>
    <cellStyle name="Comma 11 2 4" xfId="348"/>
    <cellStyle name="Comma 11 2 5" xfId="357"/>
    <cellStyle name="Comma 11 2 6" xfId="375"/>
    <cellStyle name="Comma 11 2 7" xfId="393"/>
    <cellStyle name="Comma 11 2 8" xfId="409"/>
    <cellStyle name="Comma 11 2 9" xfId="71"/>
    <cellStyle name="Comma 11 2_F2.1" xfId="472"/>
    <cellStyle name="Comma 12" xfId="99"/>
    <cellStyle name="Comma 13" xfId="100"/>
    <cellStyle name="Comma 14" xfId="101"/>
    <cellStyle name="Comma 15" xfId="102"/>
    <cellStyle name="Comma 15 2" xfId="103"/>
    <cellStyle name="Comma 15 2 2" xfId="104"/>
    <cellStyle name="Comma 15 2 2 2" xfId="105"/>
    <cellStyle name="Comma 15 2 2 3" xfId="248"/>
    <cellStyle name="Comma 15 2 2 4" xfId="261"/>
    <cellStyle name="Comma 15 2 3" xfId="106"/>
    <cellStyle name="Comma 15 2 4" xfId="107"/>
    <cellStyle name="Comma 15 2 5" xfId="108"/>
    <cellStyle name="Comma 15 2 6" xfId="109"/>
    <cellStyle name="Comma 15 2 7" xfId="110"/>
    <cellStyle name="Comma 15 2 8" xfId="111"/>
    <cellStyle name="Comma 15 3" xfId="112"/>
    <cellStyle name="Comma 15 4" xfId="113"/>
    <cellStyle name="Comma 15 5" xfId="114"/>
    <cellStyle name="Comma 15 6" xfId="115"/>
    <cellStyle name="Comma 15 7" xfId="116"/>
    <cellStyle name="Comma 15 8" xfId="117"/>
    <cellStyle name="Comma 16" xfId="118"/>
    <cellStyle name="Comma 16 2" xfId="119"/>
    <cellStyle name="Comma 16 3" xfId="120"/>
    <cellStyle name="Comma 16 4" xfId="121"/>
    <cellStyle name="Comma 16 5" xfId="122"/>
    <cellStyle name="Comma 16 6" xfId="123"/>
    <cellStyle name="Comma 16 7" xfId="124"/>
    <cellStyle name="Comma 16 8" xfId="125"/>
    <cellStyle name="Comma 17" xfId="126"/>
    <cellStyle name="Comma 18" xfId="127"/>
    <cellStyle name="Comma 18 2" xfId="128"/>
    <cellStyle name="Comma 18 2 2" xfId="129"/>
    <cellStyle name="Comma 19" xfId="130"/>
    <cellStyle name="Comma 2" xfId="24"/>
    <cellStyle name="Comma 2 10" xfId="247"/>
    <cellStyle name="Comma 2 11" xfId="260"/>
    <cellStyle name="Comma 2 12" xfId="285"/>
    <cellStyle name="Comma 2 13" xfId="327"/>
    <cellStyle name="Comma 2 14" xfId="280"/>
    <cellStyle name="Comma 2 15" xfId="367"/>
    <cellStyle name="Comma 2 16" xfId="385"/>
    <cellStyle name="Comma 2 17" xfId="401"/>
    <cellStyle name="Comma 2 18" xfId="72"/>
    <cellStyle name="Comma 2 19" xfId="462"/>
    <cellStyle name="Comma 2 2" xfId="25"/>
    <cellStyle name="Comma 2 2 10" xfId="325"/>
    <cellStyle name="Comma 2 2 11" xfId="282"/>
    <cellStyle name="Comma 2 2 12" xfId="331"/>
    <cellStyle name="Comma 2 2 13" xfId="276"/>
    <cellStyle name="Comma 2 2 14" xfId="336"/>
    <cellStyle name="Comma 2 2 15" xfId="73"/>
    <cellStyle name="Comma 2 2 2" xfId="62"/>
    <cellStyle name="Comma 2 2 2 2" xfId="133"/>
    <cellStyle name="Comma 2 2 2 3" xfId="287"/>
    <cellStyle name="Comma 2 2 2 4" xfId="324"/>
    <cellStyle name="Comma 2 2 2 5" xfId="283"/>
    <cellStyle name="Comma 2 2 2 6" xfId="330"/>
    <cellStyle name="Comma 2 2 2 7" xfId="277"/>
    <cellStyle name="Comma 2 2 2 8" xfId="334"/>
    <cellStyle name="Comma 2 2 3" xfId="132"/>
    <cellStyle name="Comma 2 2 4" xfId="135"/>
    <cellStyle name="Comma 2 2 5" xfId="136"/>
    <cellStyle name="Comma 2 2 6" xfId="137"/>
    <cellStyle name="Comma 2 2 7" xfId="138"/>
    <cellStyle name="Comma 2 2 8" xfId="139"/>
    <cellStyle name="Comma 2 2 9" xfId="286"/>
    <cellStyle name="Comma 2 2_F2.1" xfId="483"/>
    <cellStyle name="Comma 2 3" xfId="26"/>
    <cellStyle name="Comma 2 3 2" xfId="140"/>
    <cellStyle name="Comma 2 3 3" xfId="295"/>
    <cellStyle name="Comma 2 3 4" xfId="312"/>
    <cellStyle name="Comma 2 3 5" xfId="298"/>
    <cellStyle name="Comma 2 3 6" xfId="311"/>
    <cellStyle name="Comma 2 3 7" xfId="299"/>
    <cellStyle name="Comma 2 3 8" xfId="310"/>
    <cellStyle name="Comma 2 3 9" xfId="74"/>
    <cellStyle name="Comma 2 4" xfId="55"/>
    <cellStyle name="Comma 2 4 2" xfId="141"/>
    <cellStyle name="Comma 2 4 3" xfId="296"/>
    <cellStyle name="Comma 2 4 4" xfId="365"/>
    <cellStyle name="Comma 2 4 5" xfId="383"/>
    <cellStyle name="Comma 2 4 6" xfId="399"/>
    <cellStyle name="Comma 2 4 7" xfId="415"/>
    <cellStyle name="Comma 2 4 8" xfId="428"/>
    <cellStyle name="Comma 2 5" xfId="131"/>
    <cellStyle name="Comma 2 6" xfId="143"/>
    <cellStyle name="Comma 2 7" xfId="144"/>
    <cellStyle name="Comma 2 8" xfId="145"/>
    <cellStyle name="Comma 2 9" xfId="146"/>
    <cellStyle name="Comma 2_F2.1" xfId="461"/>
    <cellStyle name="Comma 20" xfId="147"/>
    <cellStyle name="Comma 21" xfId="148"/>
    <cellStyle name="Comma 22" xfId="149"/>
    <cellStyle name="Comma 23" xfId="150"/>
    <cellStyle name="Comma 24" xfId="151"/>
    <cellStyle name="Comma 25" xfId="152"/>
    <cellStyle name="Comma 26" xfId="153"/>
    <cellStyle name="Comma 27" xfId="154"/>
    <cellStyle name="Comma 28" xfId="155"/>
    <cellStyle name="Comma 29" xfId="156"/>
    <cellStyle name="Comma 3" xfId="27"/>
    <cellStyle name="Comma 3 10" xfId="75"/>
    <cellStyle name="Comma 3 11" xfId="467"/>
    <cellStyle name="Comma 3 2" xfId="61"/>
    <cellStyle name="Comma 3 2 2" xfId="76"/>
    <cellStyle name="Comma 3 2 3" xfId="436"/>
    <cellStyle name="Comma 3 2_F2.1" xfId="484"/>
    <cellStyle name="Comma 3 3" xfId="157"/>
    <cellStyle name="Comma 3 4" xfId="301"/>
    <cellStyle name="Comma 3 5" xfId="361"/>
    <cellStyle name="Comma 3 6" xfId="379"/>
    <cellStyle name="Comma 3 7" xfId="396"/>
    <cellStyle name="Comma 3 8" xfId="412"/>
    <cellStyle name="Comma 3 9" xfId="426"/>
    <cellStyle name="Comma 3_F2.1" xfId="473"/>
    <cellStyle name="Comma 30" xfId="158"/>
    <cellStyle name="Comma 31" xfId="159"/>
    <cellStyle name="Comma 32" xfId="160"/>
    <cellStyle name="Comma 33" xfId="161"/>
    <cellStyle name="Comma 34" xfId="162"/>
    <cellStyle name="Comma 35" xfId="163"/>
    <cellStyle name="Comma 36" xfId="164"/>
    <cellStyle name="Comma 37" xfId="165"/>
    <cellStyle name="Comma 38" xfId="249"/>
    <cellStyle name="Comma 39" xfId="254"/>
    <cellStyle name="Comma 4" xfId="28"/>
    <cellStyle name="Comma 4 10" xfId="77"/>
    <cellStyle name="Comma 4 2" xfId="63"/>
    <cellStyle name="Comma 4 2 10" xfId="437"/>
    <cellStyle name="Comma 4 2 2" xfId="167"/>
    <cellStyle name="Comma 4 2 3" xfId="305"/>
    <cellStyle name="Comma 4 2 4" xfId="359"/>
    <cellStyle name="Comma 4 2 5" xfId="377"/>
    <cellStyle name="Comma 4 2 6" xfId="395"/>
    <cellStyle name="Comma 4 2 7" xfId="411"/>
    <cellStyle name="Comma 4 2 8" xfId="425"/>
    <cellStyle name="Comma 4 2 9" xfId="78"/>
    <cellStyle name="Comma 4 3" xfId="168"/>
    <cellStyle name="Comma 4 4" xfId="169"/>
    <cellStyle name="Comma 4 5" xfId="170"/>
    <cellStyle name="Comma 4 6" xfId="171"/>
    <cellStyle name="Comma 4 7" xfId="172"/>
    <cellStyle name="Comma 4 8" xfId="173"/>
    <cellStyle name="Comma 4 9" xfId="174"/>
    <cellStyle name="Comma 4_F2.1" xfId="485"/>
    <cellStyle name="Comma 40" xfId="256"/>
    <cellStyle name="Comma 41" xfId="258"/>
    <cellStyle name="Comma 42" xfId="262"/>
    <cellStyle name="Comma 43" xfId="266"/>
    <cellStyle name="Comma 44" xfId="451"/>
    <cellStyle name="Comma 45" xfId="453"/>
    <cellStyle name="Comma 46" xfId="455"/>
    <cellStyle name="Comma 47" xfId="457"/>
    <cellStyle name="Comma 48" xfId="458"/>
    <cellStyle name="Comma 49" xfId="421"/>
    <cellStyle name="Comma 5" xfId="29"/>
    <cellStyle name="Comma 5 10" xfId="176"/>
    <cellStyle name="Comma 5 11" xfId="308"/>
    <cellStyle name="Comma 5 12" xfId="302"/>
    <cellStyle name="Comma 5 13" xfId="307"/>
    <cellStyle name="Comma 5 14" xfId="303"/>
    <cellStyle name="Comma 5 15" xfId="306"/>
    <cellStyle name="Comma 5 16" xfId="304"/>
    <cellStyle name="Comma 5 17" xfId="79"/>
    <cellStyle name="Comma 5 18" xfId="438"/>
    <cellStyle name="Comma 5 2" xfId="175"/>
    <cellStyle name="Comma 5 2 2" xfId="177"/>
    <cellStyle name="Comma 5 2 3" xfId="309"/>
    <cellStyle name="Comma 5 2 4" xfId="300"/>
    <cellStyle name="Comma 5 2 5" xfId="364"/>
    <cellStyle name="Comma 5 2 6" xfId="382"/>
    <cellStyle name="Comma 5 2 7" xfId="398"/>
    <cellStyle name="Comma 5 2 8" xfId="414"/>
    <cellStyle name="Comma 5 3" xfId="178"/>
    <cellStyle name="Comma 5 3 2" xfId="179"/>
    <cellStyle name="Comma 5 3 3" xfId="180"/>
    <cellStyle name="Comma 5 3 4" xfId="181"/>
    <cellStyle name="Comma 5 3 5" xfId="182"/>
    <cellStyle name="Comma 5 3 6" xfId="183"/>
    <cellStyle name="Comma 5 3 7" xfId="184"/>
    <cellStyle name="Comma 5 3 8" xfId="185"/>
    <cellStyle name="Comma 5 4" xfId="186"/>
    <cellStyle name="Comma 5 4 2" xfId="187"/>
    <cellStyle name="Comma 5 4 2 2" xfId="188"/>
    <cellStyle name="Comma 5 4 2 3" xfId="250"/>
    <cellStyle name="Comma 5 4 2 4" xfId="263"/>
    <cellStyle name="Comma 5 5" xfId="189"/>
    <cellStyle name="Comma 5 6" xfId="190"/>
    <cellStyle name="Comma 5 7" xfId="191"/>
    <cellStyle name="Comma 5 8" xfId="192"/>
    <cellStyle name="Comma 5 9" xfId="193"/>
    <cellStyle name="Comma 50" xfId="460"/>
    <cellStyle name="Comma 6" xfId="47"/>
    <cellStyle name="Comma 6 2" xfId="48"/>
    <cellStyle name="Comma 6 3" xfId="49"/>
    <cellStyle name="Comma 6 4" xfId="50"/>
    <cellStyle name="Comma 6 5" xfId="80"/>
    <cellStyle name="Comma 7" xfId="21"/>
    <cellStyle name="Comma 7 2" xfId="195"/>
    <cellStyle name="Comma 7 3" xfId="317"/>
    <cellStyle name="Comma 7 4" xfId="291"/>
    <cellStyle name="Comma 7 5" xfId="315"/>
    <cellStyle name="Comma 7 6" xfId="293"/>
    <cellStyle name="Comma 7 7" xfId="313"/>
    <cellStyle name="Comma 7 8" xfId="297"/>
    <cellStyle name="Comma 8" xfId="64"/>
    <cellStyle name="Comma 8 10" xfId="439"/>
    <cellStyle name="Comma 8 2" xfId="196"/>
    <cellStyle name="Comma 8 3" xfId="318"/>
    <cellStyle name="Comma 8 4" xfId="290"/>
    <cellStyle name="Comma 8 5" xfId="316"/>
    <cellStyle name="Comma 8 6" xfId="292"/>
    <cellStyle name="Comma 8 7" xfId="314"/>
    <cellStyle name="Comma 8 8" xfId="294"/>
    <cellStyle name="Comma 8 9" xfId="81"/>
    <cellStyle name="Comma 9" xfId="93"/>
    <cellStyle name="Comma 9 2" xfId="197"/>
    <cellStyle name="Comma 9 3" xfId="319"/>
    <cellStyle name="Comma 9 4" xfId="289"/>
    <cellStyle name="Comma 9 5" xfId="320"/>
    <cellStyle name="Comma 9 6" xfId="288"/>
    <cellStyle name="Comma 9 7" xfId="242"/>
    <cellStyle name="Comma 9 8" xfId="353"/>
    <cellStyle name="Curren - Style2" xfId="3"/>
    <cellStyle name="Grey" xfId="4"/>
    <cellStyle name="Header1" xfId="5"/>
    <cellStyle name="Header2" xfId="6"/>
    <cellStyle name="Hyperlink 2" xfId="198"/>
    <cellStyle name="Input [yellow]" xfId="7"/>
    <cellStyle name="no dec" xfId="8"/>
    <cellStyle name="Normal" xfId="0" builtinId="0"/>
    <cellStyle name="Normal - Style1" xfId="9"/>
    <cellStyle name="Normal 10" xfId="66"/>
    <cellStyle name="Normal 10 10" xfId="440"/>
    <cellStyle name="Normal 10 2" xfId="199"/>
    <cellStyle name="Normal 10 3" xfId="321"/>
    <cellStyle name="Normal 10 4" xfId="363"/>
    <cellStyle name="Normal 10 5" xfId="381"/>
    <cellStyle name="Normal 10 6" xfId="397"/>
    <cellStyle name="Normal 10 7" xfId="413"/>
    <cellStyle name="Normal 10 8" xfId="427"/>
    <cellStyle name="Normal 10 9" xfId="82"/>
    <cellStyle name="Normal 11" xfId="68"/>
    <cellStyle name="Normal 11 10" xfId="441"/>
    <cellStyle name="Normal 11 2" xfId="200"/>
    <cellStyle name="Normal 11 3" xfId="322"/>
    <cellStyle name="Normal 11 4" xfId="356"/>
    <cellStyle name="Normal 11 5" xfId="374"/>
    <cellStyle name="Normal 11 6" xfId="392"/>
    <cellStyle name="Normal 11 7" xfId="408"/>
    <cellStyle name="Normal 11 8" xfId="424"/>
    <cellStyle name="Normal 11 9" xfId="83"/>
    <cellStyle name="Normal 12" xfId="69"/>
    <cellStyle name="Normal 12 10" xfId="442"/>
    <cellStyle name="Normal 12 2" xfId="201"/>
    <cellStyle name="Normal 12 3" xfId="323"/>
    <cellStyle name="Normal 12 4" xfId="284"/>
    <cellStyle name="Normal 12 5" xfId="328"/>
    <cellStyle name="Normal 12 6" xfId="279"/>
    <cellStyle name="Normal 12 7" xfId="332"/>
    <cellStyle name="Normal 12 8" xfId="275"/>
    <cellStyle name="Normal 12 9" xfId="84"/>
    <cellStyle name="Normal 13" xfId="202"/>
    <cellStyle name="Normal 14" xfId="203"/>
    <cellStyle name="Normal 14 2" xfId="67"/>
    <cellStyle name="Normal 14 2 2" xfId="85"/>
    <cellStyle name="Normal 14 2 3" xfId="443"/>
    <cellStyle name="Normal 14 2 4" xfId="470"/>
    <cellStyle name="Normal 14 2_F2.1" xfId="475"/>
    <cellStyle name="Normal 15" xfId="18"/>
    <cellStyle name="Normal 15 10" xfId="444"/>
    <cellStyle name="Normal 15 2" xfId="204"/>
    <cellStyle name="Normal 15 3" xfId="326"/>
    <cellStyle name="Normal 15 4" xfId="281"/>
    <cellStyle name="Normal 15 5" xfId="358"/>
    <cellStyle name="Normal 15 6" xfId="376"/>
    <cellStyle name="Normal 15 7" xfId="394"/>
    <cellStyle name="Normal 15 8" xfId="410"/>
    <cellStyle name="Normal 15 9" xfId="86"/>
    <cellStyle name="Normal 16" xfId="205"/>
    <cellStyle name="Normal 16 2" xfId="463"/>
    <cellStyle name="Normal 16_F2.1" xfId="476"/>
    <cellStyle name="Normal 17" xfId="206"/>
    <cellStyle name="Normal 18" xfId="60"/>
    <cellStyle name="Normal 18 10" xfId="445"/>
    <cellStyle name="Normal 18 2" xfId="207"/>
    <cellStyle name="Normal 18 2 2" xfId="209"/>
    <cellStyle name="Normal 18 2 3" xfId="252"/>
    <cellStyle name="Normal 18 2 4" xfId="265"/>
    <cellStyle name="Normal 18 3" xfId="329"/>
    <cellStyle name="Normal 18 4" xfId="278"/>
    <cellStyle name="Normal 18 5" xfId="333"/>
    <cellStyle name="Normal 18 6" xfId="274"/>
    <cellStyle name="Normal 18 7" xfId="337"/>
    <cellStyle name="Normal 18 8" xfId="272"/>
    <cellStyle name="Normal 18 9" xfId="87"/>
    <cellStyle name="Normal 19" xfId="210"/>
    <cellStyle name="Normal 2" xfId="10"/>
    <cellStyle name="Normal 2 2" xfId="11"/>
    <cellStyle name="Normal 2 2 2" xfId="30"/>
    <cellStyle name="Normal 2 2 2 2" xfId="56"/>
    <cellStyle name="Normal 2 2 3" xfId="468"/>
    <cellStyle name="Normal 2 2_F2.1" xfId="477"/>
    <cellStyle name="Normal 2 3" xfId="12"/>
    <cellStyle name="Normal 2 3 2" xfId="213"/>
    <cellStyle name="Normal 2 3 3" xfId="335"/>
    <cellStyle name="Normal 2 3 4" xfId="273"/>
    <cellStyle name="Normal 2 3 5" xfId="338"/>
    <cellStyle name="Normal 2 3 6" xfId="271"/>
    <cellStyle name="Normal 2 3 7" xfId="339"/>
    <cellStyle name="Normal 2 3 8" xfId="270"/>
    <cellStyle name="Normal 2 4" xfId="51"/>
    <cellStyle name="Normal 2_ARR FINAL" xfId="31"/>
    <cellStyle name="Normal 20" xfId="214"/>
    <cellStyle name="Normal 21" xfId="215"/>
    <cellStyle name="Normal 22" xfId="216"/>
    <cellStyle name="Normal 23" xfId="217"/>
    <cellStyle name="Normal 24" xfId="218"/>
    <cellStyle name="Normal 24 2" xfId="464"/>
    <cellStyle name="Normal 24_F2.1" xfId="478"/>
    <cellStyle name="Normal 25" xfId="219"/>
    <cellStyle name="Normal 25 2" xfId="466"/>
    <cellStyle name="Normal 25_F2.1" xfId="479"/>
    <cellStyle name="Normal 26" xfId="220"/>
    <cellStyle name="Normal 26 2" xfId="465"/>
    <cellStyle name="Normal 26_F2.1" xfId="480"/>
    <cellStyle name="Normal 27" xfId="221"/>
    <cellStyle name="Normal 28" xfId="222"/>
    <cellStyle name="Normal 29" xfId="223"/>
    <cellStyle name="Normal 3" xfId="13"/>
    <cellStyle name="Normal 3 10" xfId="269"/>
    <cellStyle name="Normal 3 11" xfId="342"/>
    <cellStyle name="Normal 3 12" xfId="134"/>
    <cellStyle name="Normal 3 13" xfId="360"/>
    <cellStyle name="Normal 3 14" xfId="378"/>
    <cellStyle name="Normal 3 2" xfId="32"/>
    <cellStyle name="Normal 3 2 2" xfId="57"/>
    <cellStyle name="Normal 3 2 3" xfId="225"/>
    <cellStyle name="Normal 3 2 4" xfId="341"/>
    <cellStyle name="Normal 3 2 5" xfId="268"/>
    <cellStyle name="Normal 3 2 6" xfId="343"/>
    <cellStyle name="Normal 3 2 7" xfId="142"/>
    <cellStyle name="Normal 3 2 8" xfId="362"/>
    <cellStyle name="Normal 3 2 9" xfId="380"/>
    <cellStyle name="Normal 3 3" xfId="224"/>
    <cellStyle name="Normal 3 4" xfId="226"/>
    <cellStyle name="Normal 3 5" xfId="227"/>
    <cellStyle name="Normal 3 6" xfId="228"/>
    <cellStyle name="Normal 3 7" xfId="229"/>
    <cellStyle name="Normal 3 8" xfId="230"/>
    <cellStyle name="Normal 3 9" xfId="340"/>
    <cellStyle name="Normal 30" xfId="231"/>
    <cellStyle name="Normal 31" xfId="246"/>
    <cellStyle name="Normal 32" xfId="253"/>
    <cellStyle name="Normal 33" xfId="255"/>
    <cellStyle name="Normal 34" xfId="257"/>
    <cellStyle name="Normal 35" xfId="259"/>
    <cellStyle name="Normal 36" xfId="267"/>
    <cellStyle name="Normal 37" xfId="434"/>
    <cellStyle name="Normal 38" xfId="450"/>
    <cellStyle name="Normal 39" xfId="22"/>
    <cellStyle name="Normal 4" xfId="33"/>
    <cellStyle name="Normal 4 10" xfId="166"/>
    <cellStyle name="Normal 4 11" xfId="368"/>
    <cellStyle name="Normal 4 12" xfId="386"/>
    <cellStyle name="Normal 4 13" xfId="402"/>
    <cellStyle name="Normal 4 14" xfId="417"/>
    <cellStyle name="Normal 4 2" xfId="58"/>
    <cellStyle name="Normal 4 2 2" xfId="233"/>
    <cellStyle name="Normal 4 2 3" xfId="345"/>
    <cellStyle name="Normal 4 2 4" xfId="194"/>
    <cellStyle name="Normal 4 2 5" xfId="346"/>
    <cellStyle name="Normal 4 2 6" xfId="211"/>
    <cellStyle name="Normal 4 2 7" xfId="349"/>
    <cellStyle name="Normal 4 2 8" xfId="212"/>
    <cellStyle name="Normal 4 3" xfId="232"/>
    <cellStyle name="Normal 4 4" xfId="234"/>
    <cellStyle name="Normal 4 5" xfId="235"/>
    <cellStyle name="Normal 4 6" xfId="236"/>
    <cellStyle name="Normal 4 7" xfId="237"/>
    <cellStyle name="Normal 4 8" xfId="238"/>
    <cellStyle name="Normal 4 9" xfId="344"/>
    <cellStyle name="Normal 40" xfId="452"/>
    <cellStyle name="Normal 41" xfId="454"/>
    <cellStyle name="Normal 42" xfId="456"/>
    <cellStyle name="Normal 43" xfId="459"/>
    <cellStyle name="Normal 5" xfId="34"/>
    <cellStyle name="Normal 5 10" xfId="88"/>
    <cellStyle name="Normal 5 11" xfId="446"/>
    <cellStyle name="Normal 5 2" xfId="35"/>
    <cellStyle name="Normal 5 3" xfId="239"/>
    <cellStyle name="Normal 5 4" xfId="350"/>
    <cellStyle name="Normal 5 5" xfId="369"/>
    <cellStyle name="Normal 5 6" xfId="387"/>
    <cellStyle name="Normal 5 7" xfId="403"/>
    <cellStyle name="Normal 5 8" xfId="418"/>
    <cellStyle name="Normal 5 9" xfId="429"/>
    <cellStyle name="Normal 6" xfId="36"/>
    <cellStyle name="Normal 6 2" xfId="240"/>
    <cellStyle name="Normal 6 3" xfId="351"/>
    <cellStyle name="Normal 6 4" xfId="370"/>
    <cellStyle name="Normal 6 5" xfId="388"/>
    <cellStyle name="Normal 6 6" xfId="404"/>
    <cellStyle name="Normal 6 7" xfId="419"/>
    <cellStyle name="Normal 6 8" xfId="430"/>
    <cellStyle name="Normal 7" xfId="37"/>
    <cellStyle name="Normal 7 10" xfId="447"/>
    <cellStyle name="Normal 7 2" xfId="241"/>
    <cellStyle name="Normal 7 2 2" xfId="243"/>
    <cellStyle name="Normal 7 3" xfId="352"/>
    <cellStyle name="Normal 7 4" xfId="371"/>
    <cellStyle name="Normal 7 5" xfId="389"/>
    <cellStyle name="Normal 7 6" xfId="405"/>
    <cellStyle name="Normal 7 7" xfId="420"/>
    <cellStyle name="Normal 7 8" xfId="431"/>
    <cellStyle name="Normal 7 9" xfId="89"/>
    <cellStyle name="Normal 8" xfId="52"/>
    <cellStyle name="Normal 8 2" xfId="244"/>
    <cellStyle name="Normal 8 3" xfId="354"/>
    <cellStyle name="Normal 8 4" xfId="372"/>
    <cellStyle name="Normal 8 5" xfId="390"/>
    <cellStyle name="Normal 8 6" xfId="406"/>
    <cellStyle name="Normal 8 7" xfId="422"/>
    <cellStyle name="Normal 8 8" xfId="432"/>
    <cellStyle name="Normal 9" xfId="53"/>
    <cellStyle name="Normal 9 2" xfId="245"/>
    <cellStyle name="Normal 9 3" xfId="355"/>
    <cellStyle name="Normal 9 4" xfId="373"/>
    <cellStyle name="Normal 9 5" xfId="391"/>
    <cellStyle name="Normal 9 6" xfId="407"/>
    <cellStyle name="Normal 9 7" xfId="423"/>
    <cellStyle name="Normal 9 8" xfId="433"/>
    <cellStyle name="Normal_F2.1" xfId="474"/>
    <cellStyle name="Normal_F2.2" xfId="481"/>
    <cellStyle name="Normal_F2.3" xfId="482"/>
    <cellStyle name="Normal_FORMATS 5 YEAR ALOKE 2" xfId="14"/>
    <cellStyle name="Percent [0]_#6 Temps &amp; Contractors" xfId="15"/>
    <cellStyle name="Percent [2]" xfId="16"/>
    <cellStyle name="Percent 2" xfId="38"/>
    <cellStyle name="Percent 2 2" xfId="39"/>
    <cellStyle name="Percent 2 3" xfId="59"/>
    <cellStyle name="Percent 3" xfId="40"/>
    <cellStyle name="Percent 3 2" xfId="41"/>
    <cellStyle name="Percent 4" xfId="23"/>
    <cellStyle name="Percent 41" xfId="20"/>
    <cellStyle name="Percent 41 2" xfId="90"/>
    <cellStyle name="Percent 41 3" xfId="448"/>
    <cellStyle name="Percent 5" xfId="42"/>
    <cellStyle name="Percent 5 2" xfId="43"/>
    <cellStyle name="Percent 5 3" xfId="44"/>
    <cellStyle name="Percent 6" xfId="45"/>
    <cellStyle name="Percent 6 2" xfId="46"/>
    <cellStyle name="Percent 7" xfId="65"/>
    <cellStyle name="Percent 7 2" xfId="91"/>
    <cellStyle name="Percent 7 3" xfId="449"/>
    <cellStyle name="Style 1" xfId="17"/>
    <cellStyle name="Style 2" xfId="54"/>
  </cellStyles>
  <dxfs count="0"/>
  <tableStyles count="0" defaultTableStyle="TableStyleMedium9" defaultPivotStyle="PivotStyleLight16"/>
  <colors>
    <mruColors>
      <color rgb="FFFBCB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ech1\EMAIL\Performance\PERFORMANCE\ocm\Yearly_perf\OCMJAN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ser21\shared%20doc\ARR%202.6%20REV\Performance\PERFORMANCE\ocm\Yearly_perf\OCMJAN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Performance\PERFORMANCE\ocm\Yearly_perf\OCMJAN2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2000-01"/>
      <sheetName val="04REL"/>
      <sheetName val="Inputs &amp; Assumptions"/>
      <sheetName val="Daily_input"/>
      <sheetName val="Daily_report"/>
      <sheetName val="Title"/>
      <sheetName val="CAPI_01-02"/>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sheetData sheetId="18"/>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Assumptions"/>
      <sheetName val="A 3.7"/>
      <sheetName val="water_bal"/>
      <sheetName val="Daily_input"/>
      <sheetName val="Daily_report"/>
      <sheetName val="A_3_7"/>
      <sheetName val="Clause 9"/>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sheetData sheetId="19"/>
      <sheetData sheetId="20"/>
      <sheetData sheetId="2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04REL"/>
      <sheetName val="Daily_input"/>
      <sheetName val="Daily_report"/>
      <sheetName val="Instruction Sheet"/>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sheetData sheetId="17"/>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6"/>
  <sheetViews>
    <sheetView showGridLines="0" zoomScale="80" zoomScaleNormal="80" zoomScaleSheetLayoutView="80" workbookViewId="0">
      <selection activeCell="M21" sqref="M21"/>
    </sheetView>
  </sheetViews>
  <sheetFormatPr defaultColWidth="9.28515625" defaultRowHeight="15" x14ac:dyDescent="0.2"/>
  <cols>
    <col min="1" max="1" width="3.7109375" style="6" customWidth="1"/>
    <col min="2" max="2" width="7.42578125" style="6" customWidth="1"/>
    <col min="3" max="3" width="12.5703125" style="6" customWidth="1"/>
    <col min="4" max="4" width="43.28515625" style="6" customWidth="1"/>
    <col min="5" max="5" width="11.42578125" style="6" customWidth="1"/>
    <col min="6" max="6" width="20.7109375" style="6" customWidth="1"/>
    <col min="7" max="8" width="18.7109375" style="6" customWidth="1"/>
    <col min="9" max="16384" width="9.28515625" style="6"/>
  </cols>
  <sheetData>
    <row r="1" spans="2:8" ht="15.75" x14ac:dyDescent="0.2">
      <c r="B1" s="266" t="s">
        <v>402</v>
      </c>
      <c r="C1" s="266"/>
      <c r="D1" s="267"/>
      <c r="E1" s="267"/>
      <c r="F1" s="1"/>
      <c r="G1" s="1"/>
      <c r="H1" s="1"/>
    </row>
    <row r="2" spans="2:8" ht="15.75" x14ac:dyDescent="0.2">
      <c r="B2" s="266" t="s">
        <v>491</v>
      </c>
      <c r="C2" s="266"/>
      <c r="D2" s="267"/>
      <c r="E2" s="267"/>
      <c r="F2" s="1"/>
      <c r="G2" s="1"/>
      <c r="H2" s="1"/>
    </row>
    <row r="3" spans="2:8" s="10" customFormat="1" ht="15.75" x14ac:dyDescent="0.2">
      <c r="B3" s="268" t="s">
        <v>371</v>
      </c>
      <c r="C3" s="268"/>
      <c r="D3" s="269"/>
      <c r="E3" s="269"/>
      <c r="F3" s="1"/>
      <c r="G3" s="1"/>
      <c r="H3" s="1"/>
    </row>
    <row r="4" spans="2:8" ht="15.75" x14ac:dyDescent="0.2">
      <c r="D4" s="67" t="s">
        <v>373</v>
      </c>
    </row>
    <row r="5" spans="2:8" ht="15.75" x14ac:dyDescent="0.2">
      <c r="B5" s="11" t="s">
        <v>193</v>
      </c>
      <c r="C5" s="11" t="s">
        <v>372</v>
      </c>
      <c r="D5" s="12" t="s">
        <v>7</v>
      </c>
      <c r="E5" s="12" t="s">
        <v>374</v>
      </c>
    </row>
    <row r="6" spans="2:8" x14ac:dyDescent="0.2">
      <c r="B6" s="7">
        <v>1</v>
      </c>
      <c r="C6" s="7" t="s">
        <v>6</v>
      </c>
      <c r="D6" s="168" t="s">
        <v>376</v>
      </c>
      <c r="E6" s="8"/>
    </row>
    <row r="7" spans="2:8" x14ac:dyDescent="0.2">
      <c r="B7" s="7">
        <f>B6+1</f>
        <v>2</v>
      </c>
      <c r="C7" s="7" t="s">
        <v>266</v>
      </c>
      <c r="D7" s="168" t="s">
        <v>378</v>
      </c>
      <c r="E7" s="8"/>
    </row>
    <row r="8" spans="2:8" x14ac:dyDescent="0.2">
      <c r="B8" s="7">
        <f>B7+1</f>
        <v>3</v>
      </c>
      <c r="C8" s="7" t="s">
        <v>24</v>
      </c>
      <c r="D8" s="168" t="s">
        <v>379</v>
      </c>
      <c r="E8" s="8"/>
    </row>
    <row r="9" spans="2:8" x14ac:dyDescent="0.2">
      <c r="B9" s="7">
        <f>B8+1</f>
        <v>4</v>
      </c>
      <c r="C9" s="7" t="s">
        <v>25</v>
      </c>
      <c r="D9" s="168" t="s">
        <v>380</v>
      </c>
      <c r="E9" s="8"/>
    </row>
    <row r="10" spans="2:8" x14ac:dyDescent="0.2">
      <c r="B10" s="7">
        <f>B9+1</f>
        <v>5</v>
      </c>
      <c r="C10" s="7" t="s">
        <v>267</v>
      </c>
      <c r="D10" s="168" t="s">
        <v>381</v>
      </c>
      <c r="E10" s="8"/>
    </row>
    <row r="11" spans="2:8" ht="30" x14ac:dyDescent="0.2">
      <c r="B11" s="7">
        <f t="shared" ref="B11:B26" si="0">B10+1</f>
        <v>6</v>
      </c>
      <c r="C11" s="7" t="s">
        <v>22</v>
      </c>
      <c r="D11" s="168" t="s">
        <v>220</v>
      </c>
      <c r="E11" s="8"/>
    </row>
    <row r="12" spans="2:8" ht="30" x14ac:dyDescent="0.2">
      <c r="B12" s="7">
        <f t="shared" si="0"/>
        <v>7</v>
      </c>
      <c r="C12" s="7" t="s">
        <v>27</v>
      </c>
      <c r="D12" s="168" t="s">
        <v>382</v>
      </c>
      <c r="E12" s="8"/>
    </row>
    <row r="13" spans="2:8" x14ac:dyDescent="0.2">
      <c r="B13" s="7">
        <f t="shared" si="0"/>
        <v>8</v>
      </c>
      <c r="C13" s="7" t="s">
        <v>28</v>
      </c>
      <c r="D13" s="9" t="s">
        <v>190</v>
      </c>
      <c r="E13" s="8"/>
    </row>
    <row r="14" spans="2:8" x14ac:dyDescent="0.2">
      <c r="B14" s="7">
        <f t="shared" si="0"/>
        <v>9</v>
      </c>
      <c r="C14" s="7" t="s">
        <v>23</v>
      </c>
      <c r="D14" s="9" t="s">
        <v>383</v>
      </c>
      <c r="E14" s="8"/>
    </row>
    <row r="15" spans="2:8" x14ac:dyDescent="0.2">
      <c r="B15" s="7">
        <f t="shared" si="0"/>
        <v>10</v>
      </c>
      <c r="C15" s="7" t="s">
        <v>29</v>
      </c>
      <c r="D15" s="168" t="s">
        <v>233</v>
      </c>
      <c r="E15" s="8"/>
    </row>
    <row r="16" spans="2:8" x14ac:dyDescent="0.2">
      <c r="B16" s="7">
        <f t="shared" si="0"/>
        <v>11</v>
      </c>
      <c r="C16" s="7" t="s">
        <v>30</v>
      </c>
      <c r="D16" s="9" t="s">
        <v>289</v>
      </c>
      <c r="E16" s="8"/>
    </row>
    <row r="17" spans="2:5" x14ac:dyDescent="0.2">
      <c r="B17" s="7">
        <f t="shared" si="0"/>
        <v>12</v>
      </c>
      <c r="C17" s="7" t="s">
        <v>31</v>
      </c>
      <c r="D17" s="9" t="s">
        <v>234</v>
      </c>
      <c r="E17" s="8"/>
    </row>
    <row r="18" spans="2:5" x14ac:dyDescent="0.2">
      <c r="B18" s="7">
        <f t="shared" si="0"/>
        <v>13</v>
      </c>
      <c r="C18" s="7" t="s">
        <v>32</v>
      </c>
      <c r="D18" s="9" t="s">
        <v>156</v>
      </c>
      <c r="E18" s="8"/>
    </row>
    <row r="19" spans="2:5" x14ac:dyDescent="0.2">
      <c r="B19" s="7">
        <f t="shared" si="0"/>
        <v>14</v>
      </c>
      <c r="C19" s="7" t="s">
        <v>33</v>
      </c>
      <c r="D19" s="9" t="s">
        <v>26</v>
      </c>
      <c r="E19" s="8"/>
    </row>
    <row r="20" spans="2:5" x14ac:dyDescent="0.2">
      <c r="B20" s="7">
        <f t="shared" si="0"/>
        <v>15</v>
      </c>
      <c r="C20" s="7" t="s">
        <v>34</v>
      </c>
      <c r="D20" s="168" t="s">
        <v>384</v>
      </c>
      <c r="E20" s="8"/>
    </row>
    <row r="21" spans="2:5" ht="30" x14ac:dyDescent="0.2">
      <c r="B21" s="7">
        <f t="shared" si="0"/>
        <v>16</v>
      </c>
      <c r="C21" s="7" t="s">
        <v>35</v>
      </c>
      <c r="D21" s="168" t="s">
        <v>385</v>
      </c>
      <c r="E21" s="8"/>
    </row>
    <row r="22" spans="2:5" x14ac:dyDescent="0.2">
      <c r="B22" s="7">
        <f t="shared" si="0"/>
        <v>17</v>
      </c>
      <c r="C22" s="7" t="s">
        <v>164</v>
      </c>
      <c r="D22" s="168" t="s">
        <v>237</v>
      </c>
      <c r="E22" s="8"/>
    </row>
    <row r="23" spans="2:5" x14ac:dyDescent="0.2">
      <c r="B23" s="7">
        <f t="shared" si="0"/>
        <v>18</v>
      </c>
      <c r="C23" s="7" t="s">
        <v>169</v>
      </c>
      <c r="D23" s="168" t="s">
        <v>386</v>
      </c>
      <c r="E23" s="8"/>
    </row>
    <row r="24" spans="2:5" x14ac:dyDescent="0.2">
      <c r="B24" s="7">
        <f t="shared" si="0"/>
        <v>19</v>
      </c>
      <c r="C24" s="7" t="s">
        <v>375</v>
      </c>
      <c r="D24" s="168" t="s">
        <v>228</v>
      </c>
      <c r="E24" s="8"/>
    </row>
    <row r="25" spans="2:5" x14ac:dyDescent="0.2">
      <c r="B25" s="7">
        <f t="shared" si="0"/>
        <v>20</v>
      </c>
      <c r="C25" s="7" t="s">
        <v>222</v>
      </c>
      <c r="D25" s="168" t="s">
        <v>387</v>
      </c>
      <c r="E25" s="8"/>
    </row>
    <row r="26" spans="2:5" x14ac:dyDescent="0.2">
      <c r="B26" s="7">
        <f t="shared" si="0"/>
        <v>21</v>
      </c>
      <c r="C26" s="7" t="s">
        <v>223</v>
      </c>
      <c r="D26" s="9" t="s">
        <v>388</v>
      </c>
      <c r="E26" s="8"/>
    </row>
  </sheetData>
  <mergeCells count="3">
    <mergeCell ref="B1:E1"/>
    <mergeCell ref="B3:E3"/>
    <mergeCell ref="B2:E2"/>
  </mergeCells>
  <phoneticPr fontId="14" type="noConversion"/>
  <pageMargins left="1.3" right="0.23622047244094499" top="1.1023622047244099" bottom="0.98425196850393704" header="0.23622047244094499" footer="0.23622047244094499"/>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58"/>
  <sheetViews>
    <sheetView topLeftCell="A35" zoomScale="93" zoomScaleNormal="93" zoomScaleSheetLayoutView="90" workbookViewId="0">
      <selection activeCell="E46" sqref="E46:E55"/>
    </sheetView>
  </sheetViews>
  <sheetFormatPr defaultColWidth="9.28515625" defaultRowHeight="14.25" x14ac:dyDescent="0.2"/>
  <cols>
    <col min="1" max="1" width="4.28515625" style="5" customWidth="1"/>
    <col min="2" max="2" width="5.140625" style="5" customWidth="1"/>
    <col min="3" max="3" width="23.140625" style="5" customWidth="1"/>
    <col min="4" max="4" width="8.140625" style="5" customWidth="1"/>
    <col min="5" max="5" width="11.28515625" style="5" customWidth="1"/>
    <col min="6" max="6" width="11.140625" style="5" customWidth="1"/>
    <col min="7" max="7" width="9.5703125" style="5" customWidth="1"/>
    <col min="8" max="8" width="13.5703125" style="5" customWidth="1"/>
    <col min="9" max="9" width="10.7109375" style="5" customWidth="1"/>
    <col min="10" max="10" width="14.140625" style="5" customWidth="1"/>
    <col min="11" max="11" width="9.5703125" style="5" customWidth="1"/>
    <col min="12" max="12" width="9.42578125" style="5" customWidth="1"/>
    <col min="13" max="13" width="12.85546875" style="5" customWidth="1"/>
    <col min="14" max="14" width="12.5703125" style="5" customWidth="1"/>
    <col min="15" max="15" width="10.7109375" style="5" customWidth="1"/>
    <col min="16" max="21" width="11.7109375" style="5" bestFit="1" customWidth="1"/>
    <col min="22" max="16384" width="9.28515625" style="5"/>
  </cols>
  <sheetData>
    <row r="1" spans="2:15" ht="6" customHeight="1" x14ac:dyDescent="0.2">
      <c r="B1" s="24"/>
    </row>
    <row r="2" spans="2:15" ht="15" x14ac:dyDescent="0.2">
      <c r="H2" s="32" t="s">
        <v>403</v>
      </c>
      <c r="I2" s="33"/>
    </row>
    <row r="3" spans="2:15" ht="15" x14ac:dyDescent="0.2">
      <c r="H3" s="32" t="s">
        <v>468</v>
      </c>
      <c r="I3" s="33"/>
    </row>
    <row r="4" spans="2:15" ht="15" x14ac:dyDescent="0.2">
      <c r="H4" s="35" t="s">
        <v>272</v>
      </c>
      <c r="I4" s="35"/>
    </row>
    <row r="5" spans="2:15" ht="10.5" customHeight="1" x14ac:dyDescent="0.2">
      <c r="K5" s="35"/>
      <c r="O5" s="32" t="s">
        <v>4</v>
      </c>
    </row>
    <row r="6" spans="2:15" ht="7.5" customHeight="1" thickBot="1" x14ac:dyDescent="0.25">
      <c r="F6" s="152"/>
      <c r="G6" s="152"/>
      <c r="H6" s="152"/>
      <c r="I6" s="152"/>
      <c r="J6" s="152"/>
      <c r="K6" s="152"/>
      <c r="L6" s="152"/>
      <c r="M6" s="152"/>
      <c r="N6" s="152"/>
      <c r="O6" s="152"/>
    </row>
    <row r="7" spans="2:15" ht="15" x14ac:dyDescent="0.2">
      <c r="B7" s="291" t="s">
        <v>405</v>
      </c>
      <c r="C7" s="292"/>
      <c r="D7" s="292"/>
      <c r="E7" s="292"/>
      <c r="F7" s="292"/>
      <c r="G7" s="292"/>
      <c r="H7" s="292"/>
      <c r="I7" s="292"/>
      <c r="J7" s="292"/>
      <c r="K7" s="292"/>
      <c r="L7" s="292"/>
      <c r="M7" s="292"/>
      <c r="N7" s="292"/>
      <c r="O7" s="293"/>
    </row>
    <row r="8" spans="2:15" ht="14.25" customHeight="1" x14ac:dyDescent="0.2">
      <c r="B8" s="294" t="s">
        <v>2</v>
      </c>
      <c r="C8" s="296" t="s">
        <v>265</v>
      </c>
      <c r="D8" s="298" t="s">
        <v>254</v>
      </c>
      <c r="E8" s="300" t="s">
        <v>255</v>
      </c>
      <c r="F8" s="298" t="s">
        <v>256</v>
      </c>
      <c r="G8" s="298"/>
      <c r="H8" s="298"/>
      <c r="I8" s="298"/>
      <c r="J8" s="298" t="s">
        <v>257</v>
      </c>
      <c r="K8" s="298"/>
      <c r="L8" s="298"/>
      <c r="M8" s="298"/>
      <c r="N8" s="298" t="s">
        <v>258</v>
      </c>
      <c r="O8" s="302"/>
    </row>
    <row r="9" spans="2:15" ht="60" x14ac:dyDescent="0.2">
      <c r="B9" s="303"/>
      <c r="C9" s="304"/>
      <c r="D9" s="305"/>
      <c r="E9" s="306"/>
      <c r="F9" s="189" t="s">
        <v>259</v>
      </c>
      <c r="G9" s="189" t="s">
        <v>138</v>
      </c>
      <c r="H9" s="189" t="s">
        <v>260</v>
      </c>
      <c r="I9" s="189" t="s">
        <v>261</v>
      </c>
      <c r="J9" s="189" t="s">
        <v>262</v>
      </c>
      <c r="K9" s="189" t="s">
        <v>138</v>
      </c>
      <c r="L9" s="189" t="s">
        <v>263</v>
      </c>
      <c r="M9" s="189" t="s">
        <v>264</v>
      </c>
      <c r="N9" s="189" t="s">
        <v>259</v>
      </c>
      <c r="O9" s="190" t="s">
        <v>261</v>
      </c>
    </row>
    <row r="10" spans="2:15" x14ac:dyDescent="0.2">
      <c r="B10" s="191">
        <v>1</v>
      </c>
      <c r="C10" s="192" t="s">
        <v>469</v>
      </c>
      <c r="D10" s="193">
        <v>1000</v>
      </c>
      <c r="E10" s="257">
        <v>0</v>
      </c>
      <c r="F10" s="194">
        <v>22.201953</v>
      </c>
      <c r="G10" s="194">
        <v>0</v>
      </c>
      <c r="H10" s="195"/>
      <c r="I10" s="196">
        <f>F10+G10+H10</f>
        <v>22.201953</v>
      </c>
      <c r="J10" s="194">
        <v>0</v>
      </c>
      <c r="K10" s="194">
        <v>0</v>
      </c>
      <c r="L10" s="195"/>
      <c r="M10" s="196">
        <f>J10+K10+L10</f>
        <v>0</v>
      </c>
      <c r="N10" s="195">
        <f>+F10-J10</f>
        <v>22.201953</v>
      </c>
      <c r="O10" s="195">
        <f>+I10-M10</f>
        <v>22.201953</v>
      </c>
    </row>
    <row r="11" spans="2:15" x14ac:dyDescent="0.2">
      <c r="B11" s="191">
        <v>2</v>
      </c>
      <c r="C11" s="192" t="s">
        <v>470</v>
      </c>
      <c r="D11" s="193">
        <v>1010</v>
      </c>
      <c r="E11" s="257"/>
      <c r="F11" s="194">
        <v>41.582841600000002</v>
      </c>
      <c r="G11" s="194">
        <v>0</v>
      </c>
      <c r="H11" s="195"/>
      <c r="I11" s="196">
        <f t="shared" ref="I11:I21" si="0">F11+G11+H11</f>
        <v>41.582841600000002</v>
      </c>
      <c r="J11" s="194">
        <v>0</v>
      </c>
      <c r="K11" s="194">
        <v>0</v>
      </c>
      <c r="L11" s="195"/>
      <c r="M11" s="196">
        <f t="shared" ref="M11:M21" si="1">J11+K11+L11</f>
        <v>0</v>
      </c>
      <c r="N11" s="195">
        <f t="shared" ref="N11:N21" si="2">+F11-J11</f>
        <v>41.582841600000002</v>
      </c>
      <c r="O11" s="195">
        <f t="shared" ref="O11:O21" si="3">+I11-M11</f>
        <v>41.582841600000002</v>
      </c>
    </row>
    <row r="12" spans="2:15" x14ac:dyDescent="0.2">
      <c r="B12" s="191">
        <v>3</v>
      </c>
      <c r="C12" s="192" t="s">
        <v>471</v>
      </c>
      <c r="D12" s="193">
        <v>1100</v>
      </c>
      <c r="E12" s="258"/>
      <c r="F12" s="194">
        <v>142.68600340200001</v>
      </c>
      <c r="G12" s="194">
        <v>0</v>
      </c>
      <c r="H12" s="195"/>
      <c r="I12" s="196">
        <f t="shared" si="0"/>
        <v>142.68600340200001</v>
      </c>
      <c r="J12" s="194">
        <v>98.051474466999991</v>
      </c>
      <c r="K12" s="194">
        <v>1.8497012329999998</v>
      </c>
      <c r="L12" s="195"/>
      <c r="M12" s="196">
        <f t="shared" si="1"/>
        <v>99.901175699999996</v>
      </c>
      <c r="N12" s="195">
        <f t="shared" si="2"/>
        <v>44.63452893500002</v>
      </c>
      <c r="O12" s="195">
        <f t="shared" si="3"/>
        <v>42.784827702000015</v>
      </c>
    </row>
    <row r="13" spans="2:15" x14ac:dyDescent="0.2">
      <c r="B13" s="191">
        <v>4</v>
      </c>
      <c r="C13" s="192" t="s">
        <v>472</v>
      </c>
      <c r="D13" s="193">
        <v>1200</v>
      </c>
      <c r="E13" s="258"/>
      <c r="F13" s="194">
        <v>165.50070170000001</v>
      </c>
      <c r="G13" s="194">
        <v>0</v>
      </c>
      <c r="H13" s="195"/>
      <c r="I13" s="196">
        <f t="shared" si="0"/>
        <v>165.50070170000001</v>
      </c>
      <c r="J13" s="194">
        <v>146.546042443</v>
      </c>
      <c r="K13" s="194">
        <v>0.21164852999999997</v>
      </c>
      <c r="L13" s="195"/>
      <c r="M13" s="196">
        <f t="shared" si="1"/>
        <v>146.757690973</v>
      </c>
      <c r="N13" s="195">
        <f t="shared" si="2"/>
        <v>18.954659257000003</v>
      </c>
      <c r="O13" s="195">
        <f t="shared" si="3"/>
        <v>18.743010727000012</v>
      </c>
    </row>
    <row r="14" spans="2:15" x14ac:dyDescent="0.2">
      <c r="B14" s="191">
        <v>5</v>
      </c>
      <c r="C14" s="192" t="s">
        <v>473</v>
      </c>
      <c r="D14" s="193">
        <v>1300</v>
      </c>
      <c r="E14" s="258"/>
      <c r="F14" s="194">
        <v>1788.9122885479997</v>
      </c>
      <c r="G14" s="194">
        <v>0</v>
      </c>
      <c r="H14" s="195"/>
      <c r="I14" s="196">
        <f>F14+G14+H14</f>
        <v>1788.9122885479997</v>
      </c>
      <c r="J14" s="194">
        <v>1621.5355914209999</v>
      </c>
      <c r="K14" s="194">
        <v>6.2857654659999991</v>
      </c>
      <c r="L14" s="195"/>
      <c r="M14" s="196">
        <f t="shared" si="1"/>
        <v>1627.8213568869999</v>
      </c>
      <c r="N14" s="195">
        <f t="shared" si="2"/>
        <v>167.37669712699972</v>
      </c>
      <c r="O14" s="195">
        <f t="shared" si="3"/>
        <v>161.09093166099979</v>
      </c>
    </row>
    <row r="15" spans="2:15" x14ac:dyDescent="0.2">
      <c r="B15" s="191">
        <v>6</v>
      </c>
      <c r="C15" s="192" t="s">
        <v>474</v>
      </c>
      <c r="D15" s="193">
        <v>1400</v>
      </c>
      <c r="E15" s="258"/>
      <c r="F15" s="194">
        <v>27.445761599000001</v>
      </c>
      <c r="G15" s="194">
        <v>0</v>
      </c>
      <c r="H15" s="195"/>
      <c r="I15" s="196">
        <f t="shared" si="0"/>
        <v>27.445761599000001</v>
      </c>
      <c r="J15" s="194">
        <v>10.125804311</v>
      </c>
      <c r="K15" s="194">
        <v>1.5170765509999999</v>
      </c>
      <c r="L15" s="195"/>
      <c r="M15" s="196">
        <f t="shared" si="1"/>
        <v>11.642880862</v>
      </c>
      <c r="N15" s="195">
        <f t="shared" si="2"/>
        <v>17.319957288000001</v>
      </c>
      <c r="O15" s="195">
        <f t="shared" si="3"/>
        <v>15.802880737000001</v>
      </c>
    </row>
    <row r="16" spans="2:15" x14ac:dyDescent="0.2">
      <c r="B16" s="191">
        <v>7</v>
      </c>
      <c r="C16" s="192" t="s">
        <v>475</v>
      </c>
      <c r="D16" s="193">
        <v>1500</v>
      </c>
      <c r="E16" s="258"/>
      <c r="F16" s="194">
        <v>247.11513890100002</v>
      </c>
      <c r="G16" s="194">
        <v>0</v>
      </c>
      <c r="H16" s="195"/>
      <c r="I16" s="196">
        <f t="shared" si="0"/>
        <v>247.11513890100002</v>
      </c>
      <c r="J16" s="194">
        <v>170.39771648199999</v>
      </c>
      <c r="K16" s="194">
        <v>3.4583708579999999</v>
      </c>
      <c r="L16" s="195"/>
      <c r="M16" s="196">
        <f t="shared" si="1"/>
        <v>173.85608733999999</v>
      </c>
      <c r="N16" s="195">
        <f t="shared" si="2"/>
        <v>76.71742241900003</v>
      </c>
      <c r="O16" s="195">
        <f t="shared" si="3"/>
        <v>73.259051561000035</v>
      </c>
    </row>
    <row r="17" spans="2:15" x14ac:dyDescent="0.2">
      <c r="B17" s="191">
        <v>8</v>
      </c>
      <c r="C17" s="192" t="s">
        <v>476</v>
      </c>
      <c r="D17" s="193">
        <v>1600</v>
      </c>
      <c r="E17" s="258"/>
      <c r="F17" s="194">
        <v>83.994568712000003</v>
      </c>
      <c r="G17" s="194">
        <v>0</v>
      </c>
      <c r="H17" s="195"/>
      <c r="I17" s="196">
        <f t="shared" si="0"/>
        <v>83.994568712000003</v>
      </c>
      <c r="J17" s="194">
        <v>33.319064132000001</v>
      </c>
      <c r="K17" s="194">
        <v>2.7450249700000029</v>
      </c>
      <c r="L17" s="195"/>
      <c r="M17" s="196">
        <f t="shared" si="1"/>
        <v>36.064089102000004</v>
      </c>
      <c r="N17" s="195">
        <f t="shared" si="2"/>
        <v>50.675504580000002</v>
      </c>
      <c r="O17" s="195">
        <f t="shared" si="3"/>
        <v>47.930479609999999</v>
      </c>
    </row>
    <row r="18" spans="2:15" x14ac:dyDescent="0.2">
      <c r="B18" s="191">
        <v>9</v>
      </c>
      <c r="C18" s="192" t="s">
        <v>477</v>
      </c>
      <c r="D18" s="193">
        <v>1700</v>
      </c>
      <c r="E18" s="258"/>
      <c r="F18" s="194">
        <v>23.932888903999999</v>
      </c>
      <c r="G18" s="194">
        <v>0</v>
      </c>
      <c r="H18" s="195"/>
      <c r="I18" s="196">
        <f t="shared" si="0"/>
        <v>23.932888903999999</v>
      </c>
      <c r="J18" s="194">
        <v>17.361731555000002</v>
      </c>
      <c r="K18" s="194">
        <v>1.432412392</v>
      </c>
      <c r="L18" s="195"/>
      <c r="M18" s="196">
        <f t="shared" si="1"/>
        <v>18.794143947000002</v>
      </c>
      <c r="N18" s="195">
        <f t="shared" si="2"/>
        <v>6.5711573489999964</v>
      </c>
      <c r="O18" s="195">
        <f t="shared" si="3"/>
        <v>5.1387449569999966</v>
      </c>
    </row>
    <row r="19" spans="2:15" x14ac:dyDescent="0.2">
      <c r="B19" s="191">
        <v>10</v>
      </c>
      <c r="C19" s="192" t="s">
        <v>478</v>
      </c>
      <c r="D19" s="193">
        <v>1800</v>
      </c>
      <c r="E19" s="258"/>
      <c r="F19" s="194">
        <v>1.529904675</v>
      </c>
      <c r="G19" s="194">
        <v>0</v>
      </c>
      <c r="H19" s="195"/>
      <c r="I19" s="196">
        <f t="shared" si="0"/>
        <v>1.529904675</v>
      </c>
      <c r="J19" s="194">
        <v>1.283557418</v>
      </c>
      <c r="K19" s="194"/>
      <c r="L19" s="195"/>
      <c r="M19" s="196">
        <f t="shared" si="1"/>
        <v>1.283557418</v>
      </c>
      <c r="N19" s="195">
        <f t="shared" si="2"/>
        <v>0.24634725700000004</v>
      </c>
      <c r="O19" s="195">
        <f t="shared" si="3"/>
        <v>0.24634725700000004</v>
      </c>
    </row>
    <row r="20" spans="2:15" x14ac:dyDescent="0.2">
      <c r="B20" s="191">
        <v>11</v>
      </c>
      <c r="C20" s="192" t="s">
        <v>411</v>
      </c>
      <c r="D20" s="193">
        <v>1900</v>
      </c>
      <c r="E20" s="258"/>
      <c r="F20" s="194">
        <v>2.4785575719999997</v>
      </c>
      <c r="G20" s="194">
        <v>1.5087248000000001E-2</v>
      </c>
      <c r="H20" s="195"/>
      <c r="I20" s="196">
        <f t="shared" si="0"/>
        <v>2.4936448199999997</v>
      </c>
      <c r="J20" s="194">
        <v>1.9625007219999999</v>
      </c>
      <c r="K20" s="194"/>
      <c r="L20" s="195"/>
      <c r="M20" s="196">
        <f t="shared" si="1"/>
        <v>1.9625007219999999</v>
      </c>
      <c r="N20" s="195">
        <f t="shared" si="2"/>
        <v>0.51605684999999979</v>
      </c>
      <c r="O20" s="195">
        <f t="shared" si="3"/>
        <v>0.53114409799999973</v>
      </c>
    </row>
    <row r="21" spans="2:15" x14ac:dyDescent="0.2">
      <c r="B21" s="191">
        <v>12</v>
      </c>
      <c r="C21" s="192" t="s">
        <v>479</v>
      </c>
      <c r="D21" s="193">
        <v>2100</v>
      </c>
      <c r="E21" s="258"/>
      <c r="F21" s="194">
        <v>1.5893913869999998</v>
      </c>
      <c r="G21" s="194">
        <v>0.24669379999999999</v>
      </c>
      <c r="H21" s="195"/>
      <c r="I21" s="196">
        <f t="shared" si="0"/>
        <v>1.8360851869999999</v>
      </c>
      <c r="J21" s="194">
        <v>1.076517049</v>
      </c>
      <c r="K21" s="194"/>
      <c r="L21" s="195"/>
      <c r="M21" s="196">
        <f t="shared" si="1"/>
        <v>1.076517049</v>
      </c>
      <c r="N21" s="195">
        <f t="shared" si="2"/>
        <v>0.51287433799999982</v>
      </c>
      <c r="O21" s="195">
        <f t="shared" si="3"/>
        <v>0.75956813799999989</v>
      </c>
    </row>
    <row r="22" spans="2:15" s="49" customFormat="1" ht="15" x14ac:dyDescent="0.2">
      <c r="B22" s="197"/>
      <c r="C22" s="198" t="s">
        <v>139</v>
      </c>
      <c r="D22" s="198"/>
      <c r="E22" s="259">
        <f>IFERROR((K22-L22)/AVERAGE(F22,I22),0)</f>
        <v>6.8651680985445844E-3</v>
      </c>
      <c r="F22" s="199">
        <f>ROUND(SUM(F10:F21),2)</f>
        <v>2548.9699999999998</v>
      </c>
      <c r="G22" s="199">
        <f t="shared" ref="G22:O22" si="4">ROUND(SUM(G10:G21),2)</f>
        <v>0.26</v>
      </c>
      <c r="H22" s="199">
        <f t="shared" si="4"/>
        <v>0</v>
      </c>
      <c r="I22" s="199">
        <f t="shared" si="4"/>
        <v>2549.23</v>
      </c>
      <c r="J22" s="199">
        <f t="shared" si="4"/>
        <v>2101.66</v>
      </c>
      <c r="K22" s="199">
        <f t="shared" si="4"/>
        <v>17.5</v>
      </c>
      <c r="L22" s="199">
        <f t="shared" si="4"/>
        <v>0</v>
      </c>
      <c r="M22" s="199">
        <f t="shared" si="4"/>
        <v>2119.16</v>
      </c>
      <c r="N22" s="199">
        <f t="shared" si="4"/>
        <v>447.31</v>
      </c>
      <c r="O22" s="199">
        <f t="shared" si="4"/>
        <v>430.07</v>
      </c>
    </row>
    <row r="23" spans="2:15" ht="15" thickBot="1" x14ac:dyDescent="0.25">
      <c r="F23" s="165"/>
      <c r="G23" s="165"/>
      <c r="H23" s="165"/>
      <c r="I23" s="165"/>
      <c r="J23" s="165"/>
      <c r="K23" s="165"/>
      <c r="L23" s="165"/>
      <c r="M23" s="165"/>
      <c r="N23" s="165"/>
      <c r="O23" s="165"/>
    </row>
    <row r="24" spans="2:15" ht="15" x14ac:dyDescent="0.2">
      <c r="B24" s="291" t="s">
        <v>406</v>
      </c>
      <c r="C24" s="292"/>
      <c r="D24" s="292"/>
      <c r="E24" s="292"/>
      <c r="F24" s="292"/>
      <c r="G24" s="292"/>
      <c r="H24" s="292"/>
      <c r="I24" s="292"/>
      <c r="J24" s="292"/>
      <c r="K24" s="292"/>
      <c r="L24" s="292"/>
      <c r="M24" s="292"/>
      <c r="N24" s="292"/>
      <c r="O24" s="293"/>
    </row>
    <row r="25" spans="2:15" ht="15" x14ac:dyDescent="0.2">
      <c r="B25" s="294" t="s">
        <v>2</v>
      </c>
      <c r="C25" s="296" t="s">
        <v>265</v>
      </c>
      <c r="D25" s="298" t="s">
        <v>254</v>
      </c>
      <c r="E25" s="300" t="s">
        <v>255</v>
      </c>
      <c r="F25" s="298" t="s">
        <v>256</v>
      </c>
      <c r="G25" s="298"/>
      <c r="H25" s="298"/>
      <c r="I25" s="298"/>
      <c r="J25" s="298" t="s">
        <v>257</v>
      </c>
      <c r="K25" s="298"/>
      <c r="L25" s="298"/>
      <c r="M25" s="298"/>
      <c r="N25" s="298" t="s">
        <v>258</v>
      </c>
      <c r="O25" s="302"/>
    </row>
    <row r="26" spans="2:15" ht="60.75" thickBot="1" x14ac:dyDescent="0.25">
      <c r="B26" s="295"/>
      <c r="C26" s="297"/>
      <c r="D26" s="299"/>
      <c r="E26" s="301"/>
      <c r="F26" s="65" t="s">
        <v>259</v>
      </c>
      <c r="G26" s="65" t="s">
        <v>138</v>
      </c>
      <c r="H26" s="65" t="s">
        <v>260</v>
      </c>
      <c r="I26" s="65" t="s">
        <v>261</v>
      </c>
      <c r="J26" s="65" t="s">
        <v>262</v>
      </c>
      <c r="K26" s="65" t="s">
        <v>138</v>
      </c>
      <c r="L26" s="65" t="s">
        <v>263</v>
      </c>
      <c r="M26" s="65" t="s">
        <v>264</v>
      </c>
      <c r="N26" s="65" t="s">
        <v>259</v>
      </c>
      <c r="O26" s="66" t="s">
        <v>261</v>
      </c>
    </row>
    <row r="27" spans="2:15" x14ac:dyDescent="0.2">
      <c r="B27" s="191">
        <v>1</v>
      </c>
      <c r="C27" s="192" t="s">
        <v>469</v>
      </c>
      <c r="D27" s="193">
        <v>1000</v>
      </c>
      <c r="E27" s="260">
        <v>0</v>
      </c>
      <c r="F27" s="154">
        <f t="shared" ref="F27:F38" si="5">I10</f>
        <v>22.201953</v>
      </c>
      <c r="G27" s="154"/>
      <c r="H27" s="154"/>
      <c r="I27" s="153">
        <f>F27+G27+H27</f>
        <v>22.201953</v>
      </c>
      <c r="J27" s="154">
        <f t="shared" ref="J27:J38" si="6">M10</f>
        <v>0</v>
      </c>
      <c r="K27" s="194">
        <v>0</v>
      </c>
      <c r="L27" s="154"/>
      <c r="M27" s="153">
        <f>J27+K27+L27</f>
        <v>0</v>
      </c>
      <c r="N27" s="154">
        <f>+F27-J27</f>
        <v>22.201953</v>
      </c>
      <c r="O27" s="154">
        <f>+I27-M27</f>
        <v>22.201953</v>
      </c>
    </row>
    <row r="28" spans="2:15" x14ac:dyDescent="0.2">
      <c r="B28" s="191">
        <v>2</v>
      </c>
      <c r="C28" s="192" t="s">
        <v>470</v>
      </c>
      <c r="D28" s="193">
        <v>1010</v>
      </c>
      <c r="E28" s="260"/>
      <c r="F28" s="154">
        <f t="shared" si="5"/>
        <v>41.582841600000002</v>
      </c>
      <c r="G28" s="154"/>
      <c r="H28" s="154"/>
      <c r="I28" s="153">
        <f t="shared" ref="I28:I38" si="7">F28+G28+H28</f>
        <v>41.582841600000002</v>
      </c>
      <c r="J28" s="154">
        <f t="shared" si="6"/>
        <v>0</v>
      </c>
      <c r="K28" s="194">
        <v>0</v>
      </c>
      <c r="L28" s="154"/>
      <c r="M28" s="153">
        <f t="shared" ref="M28:M38" si="8">J28+K28+L28</f>
        <v>0</v>
      </c>
      <c r="N28" s="154">
        <f t="shared" ref="N28:N38" si="9">+F28-J28</f>
        <v>41.582841600000002</v>
      </c>
      <c r="O28" s="154">
        <f t="shared" ref="O28:O38" si="10">+I28-M28</f>
        <v>41.582841600000002</v>
      </c>
    </row>
    <row r="29" spans="2:15" x14ac:dyDescent="0.2">
      <c r="B29" s="191">
        <v>3</v>
      </c>
      <c r="C29" s="192" t="s">
        <v>471</v>
      </c>
      <c r="D29" s="193">
        <v>1100</v>
      </c>
      <c r="E29" s="261"/>
      <c r="F29" s="154">
        <f t="shared" si="5"/>
        <v>142.68600340200001</v>
      </c>
      <c r="G29" s="154"/>
      <c r="H29" s="154"/>
      <c r="I29" s="153">
        <f t="shared" si="7"/>
        <v>142.68600340200001</v>
      </c>
      <c r="J29" s="154">
        <f t="shared" si="6"/>
        <v>99.901175699999996</v>
      </c>
      <c r="K29" s="194">
        <v>1.8497012329999998</v>
      </c>
      <c r="L29" s="154"/>
      <c r="M29" s="153">
        <f t="shared" si="8"/>
        <v>101.750876933</v>
      </c>
      <c r="N29" s="154">
        <f t="shared" si="9"/>
        <v>42.784827702000015</v>
      </c>
      <c r="O29" s="154">
        <f t="shared" si="10"/>
        <v>40.935126469000011</v>
      </c>
    </row>
    <row r="30" spans="2:15" x14ac:dyDescent="0.2">
      <c r="B30" s="191">
        <v>4</v>
      </c>
      <c r="C30" s="192" t="s">
        <v>472</v>
      </c>
      <c r="D30" s="193">
        <v>1200</v>
      </c>
      <c r="E30" s="261"/>
      <c r="F30" s="154">
        <f t="shared" si="5"/>
        <v>165.50070170000001</v>
      </c>
      <c r="G30" s="154"/>
      <c r="H30" s="154"/>
      <c r="I30" s="153">
        <f t="shared" si="7"/>
        <v>165.50070170000001</v>
      </c>
      <c r="J30" s="154">
        <f t="shared" si="6"/>
        <v>146.757690973</v>
      </c>
      <c r="K30" s="194">
        <v>0.21164852999999997</v>
      </c>
      <c r="L30" s="154"/>
      <c r="M30" s="153">
        <f t="shared" si="8"/>
        <v>146.96933950299999</v>
      </c>
      <c r="N30" s="154">
        <f t="shared" si="9"/>
        <v>18.743010727000012</v>
      </c>
      <c r="O30" s="154">
        <f t="shared" si="10"/>
        <v>18.531362197000021</v>
      </c>
    </row>
    <row r="31" spans="2:15" x14ac:dyDescent="0.2">
      <c r="B31" s="191">
        <v>5</v>
      </c>
      <c r="C31" s="192" t="s">
        <v>473</v>
      </c>
      <c r="D31" s="193">
        <v>1300</v>
      </c>
      <c r="E31" s="261"/>
      <c r="F31" s="154">
        <f t="shared" si="5"/>
        <v>1788.9122885479997</v>
      </c>
      <c r="G31" s="154">
        <v>8.32</v>
      </c>
      <c r="H31" s="154"/>
      <c r="I31" s="153">
        <f t="shared" si="7"/>
        <v>1797.2322885479996</v>
      </c>
      <c r="J31" s="154">
        <f t="shared" si="6"/>
        <v>1627.8213568869999</v>
      </c>
      <c r="K31" s="194">
        <v>6.2857654659999991</v>
      </c>
      <c r="L31" s="154"/>
      <c r="M31" s="153">
        <f t="shared" si="8"/>
        <v>1634.1071223529998</v>
      </c>
      <c r="N31" s="154">
        <f t="shared" si="9"/>
        <v>161.09093166099979</v>
      </c>
      <c r="O31" s="154">
        <f t="shared" si="10"/>
        <v>163.12516619499979</v>
      </c>
    </row>
    <row r="32" spans="2:15" x14ac:dyDescent="0.2">
      <c r="B32" s="191">
        <v>6</v>
      </c>
      <c r="C32" s="192" t="s">
        <v>474</v>
      </c>
      <c r="D32" s="193">
        <v>1400</v>
      </c>
      <c r="E32" s="261"/>
      <c r="F32" s="154">
        <f t="shared" si="5"/>
        <v>27.445761599000001</v>
      </c>
      <c r="G32" s="154"/>
      <c r="H32" s="154"/>
      <c r="I32" s="153">
        <f t="shared" si="7"/>
        <v>27.445761599000001</v>
      </c>
      <c r="J32" s="154">
        <f t="shared" si="6"/>
        <v>11.642880862</v>
      </c>
      <c r="K32" s="194">
        <v>1.5170765509999999</v>
      </c>
      <c r="L32" s="154"/>
      <c r="M32" s="153">
        <f t="shared" si="8"/>
        <v>13.159957413000001</v>
      </c>
      <c r="N32" s="154">
        <f t="shared" si="9"/>
        <v>15.802880737000001</v>
      </c>
      <c r="O32" s="154">
        <f t="shared" si="10"/>
        <v>14.285804186</v>
      </c>
    </row>
    <row r="33" spans="2:15" x14ac:dyDescent="0.2">
      <c r="B33" s="191">
        <v>7</v>
      </c>
      <c r="C33" s="192" t="s">
        <v>475</v>
      </c>
      <c r="D33" s="193">
        <v>1500</v>
      </c>
      <c r="E33" s="261"/>
      <c r="F33" s="154">
        <f t="shared" si="5"/>
        <v>247.11513890100002</v>
      </c>
      <c r="G33" s="154"/>
      <c r="H33" s="154"/>
      <c r="I33" s="153">
        <f t="shared" si="7"/>
        <v>247.11513890100002</v>
      </c>
      <c r="J33" s="154">
        <f t="shared" si="6"/>
        <v>173.85608733999999</v>
      </c>
      <c r="K33" s="194">
        <v>3.4583708579999999</v>
      </c>
      <c r="L33" s="154"/>
      <c r="M33" s="153">
        <f t="shared" si="8"/>
        <v>177.31445819799998</v>
      </c>
      <c r="N33" s="154">
        <f t="shared" si="9"/>
        <v>73.259051561000035</v>
      </c>
      <c r="O33" s="154">
        <f t="shared" si="10"/>
        <v>69.80068070300004</v>
      </c>
    </row>
    <row r="34" spans="2:15" x14ac:dyDescent="0.2">
      <c r="B34" s="191">
        <v>8</v>
      </c>
      <c r="C34" s="192" t="s">
        <v>476</v>
      </c>
      <c r="D34" s="193">
        <v>1600</v>
      </c>
      <c r="E34" s="261"/>
      <c r="F34" s="154">
        <f t="shared" si="5"/>
        <v>83.994568712000003</v>
      </c>
      <c r="G34" s="154"/>
      <c r="H34" s="154"/>
      <c r="I34" s="153">
        <f t="shared" si="7"/>
        <v>83.994568712000003</v>
      </c>
      <c r="J34" s="154">
        <f t="shared" si="6"/>
        <v>36.064089102000004</v>
      </c>
      <c r="K34" s="194">
        <v>3.1350249699999968</v>
      </c>
      <c r="L34" s="154"/>
      <c r="M34" s="153">
        <f t="shared" si="8"/>
        <v>39.199114072</v>
      </c>
      <c r="N34" s="154">
        <f t="shared" si="9"/>
        <v>47.930479609999999</v>
      </c>
      <c r="O34" s="154">
        <f t="shared" si="10"/>
        <v>44.795454640000003</v>
      </c>
    </row>
    <row r="35" spans="2:15" x14ac:dyDescent="0.2">
      <c r="B35" s="191">
        <v>9</v>
      </c>
      <c r="C35" s="192" t="s">
        <v>477</v>
      </c>
      <c r="D35" s="193">
        <v>1700</v>
      </c>
      <c r="E35" s="261"/>
      <c r="F35" s="154">
        <f t="shared" si="5"/>
        <v>23.932888903999999</v>
      </c>
      <c r="G35" s="154"/>
      <c r="H35" s="154"/>
      <c r="I35" s="153">
        <f t="shared" si="7"/>
        <v>23.932888903999999</v>
      </c>
      <c r="J35" s="154">
        <f t="shared" si="6"/>
        <v>18.794143947000002</v>
      </c>
      <c r="K35" s="194">
        <v>1.432412392</v>
      </c>
      <c r="L35" s="154"/>
      <c r="M35" s="153">
        <f t="shared" si="8"/>
        <v>20.226556339000002</v>
      </c>
      <c r="N35" s="154">
        <f t="shared" si="9"/>
        <v>5.1387449569999966</v>
      </c>
      <c r="O35" s="154">
        <f t="shared" si="10"/>
        <v>3.7063325649999967</v>
      </c>
    </row>
    <row r="36" spans="2:15" x14ac:dyDescent="0.2">
      <c r="B36" s="191">
        <v>10</v>
      </c>
      <c r="C36" s="192" t="s">
        <v>478</v>
      </c>
      <c r="D36" s="193">
        <v>1800</v>
      </c>
      <c r="E36" s="261"/>
      <c r="F36" s="154">
        <f t="shared" si="5"/>
        <v>1.529904675</v>
      </c>
      <c r="G36" s="154"/>
      <c r="H36" s="154"/>
      <c r="I36" s="153">
        <f t="shared" si="7"/>
        <v>1.529904675</v>
      </c>
      <c r="J36" s="154">
        <f t="shared" si="6"/>
        <v>1.283557418</v>
      </c>
      <c r="K36" s="194"/>
      <c r="L36" s="154"/>
      <c r="M36" s="153">
        <f t="shared" si="8"/>
        <v>1.283557418</v>
      </c>
      <c r="N36" s="154">
        <f t="shared" si="9"/>
        <v>0.24634725700000004</v>
      </c>
      <c r="O36" s="154">
        <f t="shared" si="10"/>
        <v>0.24634725700000004</v>
      </c>
    </row>
    <row r="37" spans="2:15" x14ac:dyDescent="0.2">
      <c r="B37" s="191">
        <v>11</v>
      </c>
      <c r="C37" s="192" t="s">
        <v>411</v>
      </c>
      <c r="D37" s="193">
        <v>1900</v>
      </c>
      <c r="E37" s="261"/>
      <c r="F37" s="154">
        <f t="shared" si="5"/>
        <v>2.4936448199999997</v>
      </c>
      <c r="G37" s="154"/>
      <c r="H37" s="154"/>
      <c r="I37" s="153">
        <f t="shared" si="7"/>
        <v>2.4936448199999997</v>
      </c>
      <c r="J37" s="154">
        <f t="shared" si="6"/>
        <v>1.9625007219999999</v>
      </c>
      <c r="K37" s="194"/>
      <c r="L37" s="154"/>
      <c r="M37" s="153">
        <f t="shared" si="8"/>
        <v>1.9625007219999999</v>
      </c>
      <c r="N37" s="154">
        <f t="shared" si="9"/>
        <v>0.53114409799999973</v>
      </c>
      <c r="O37" s="154">
        <f t="shared" si="10"/>
        <v>0.53114409799999973</v>
      </c>
    </row>
    <row r="38" spans="2:15" x14ac:dyDescent="0.2">
      <c r="B38" s="191">
        <v>12</v>
      </c>
      <c r="C38" s="192" t="s">
        <v>479</v>
      </c>
      <c r="D38" s="193">
        <v>2100</v>
      </c>
      <c r="E38" s="261"/>
      <c r="F38" s="154">
        <f t="shared" si="5"/>
        <v>1.8360851869999999</v>
      </c>
      <c r="G38" s="154"/>
      <c r="H38" s="154"/>
      <c r="I38" s="153">
        <f t="shared" si="7"/>
        <v>1.8360851869999999</v>
      </c>
      <c r="J38" s="154">
        <f t="shared" si="6"/>
        <v>1.076517049</v>
      </c>
      <c r="K38" s="194"/>
      <c r="L38" s="154"/>
      <c r="M38" s="153">
        <f t="shared" si="8"/>
        <v>1.076517049</v>
      </c>
      <c r="N38" s="154">
        <f t="shared" si="9"/>
        <v>0.75956813799999989</v>
      </c>
      <c r="O38" s="154">
        <f t="shared" si="10"/>
        <v>0.75956813799999989</v>
      </c>
    </row>
    <row r="39" spans="2:15" s="49" customFormat="1" ht="15.75" thickBot="1" x14ac:dyDescent="0.25">
      <c r="B39" s="166"/>
      <c r="C39" s="167" t="s">
        <v>139</v>
      </c>
      <c r="D39" s="167"/>
      <c r="E39" s="262">
        <f>IFERROR((K39-L39)/AVERAGE(F39,I39),0)</f>
        <v>7.0063719212497891E-3</v>
      </c>
      <c r="F39" s="164">
        <f>ROUND(SUM(F27:F38),2)</f>
        <v>2549.23</v>
      </c>
      <c r="G39" s="164">
        <f t="shared" ref="G39:O39" si="11">ROUND(SUM(G27:G38),2)</f>
        <v>8.32</v>
      </c>
      <c r="H39" s="164">
        <f t="shared" si="11"/>
        <v>0</v>
      </c>
      <c r="I39" s="164">
        <f t="shared" si="11"/>
        <v>2557.5500000000002</v>
      </c>
      <c r="J39" s="164">
        <f t="shared" si="11"/>
        <v>2119.16</v>
      </c>
      <c r="K39" s="164">
        <f t="shared" si="11"/>
        <v>17.89</v>
      </c>
      <c r="L39" s="164">
        <f t="shared" si="11"/>
        <v>0</v>
      </c>
      <c r="M39" s="164">
        <f t="shared" si="11"/>
        <v>2137.0500000000002</v>
      </c>
      <c r="N39" s="164">
        <f t="shared" si="11"/>
        <v>430.07</v>
      </c>
      <c r="O39" s="164">
        <f t="shared" si="11"/>
        <v>420.5</v>
      </c>
    </row>
    <row r="40" spans="2:15" ht="15" thickBot="1" x14ac:dyDescent="0.25">
      <c r="K40" s="165"/>
      <c r="L40" s="165"/>
    </row>
    <row r="41" spans="2:15" ht="15" x14ac:dyDescent="0.2">
      <c r="B41" s="291" t="s">
        <v>467</v>
      </c>
      <c r="C41" s="292"/>
      <c r="D41" s="292"/>
      <c r="E41" s="292"/>
      <c r="F41" s="292"/>
      <c r="G41" s="292"/>
      <c r="H41" s="292"/>
      <c r="I41" s="292"/>
      <c r="J41" s="292"/>
      <c r="K41" s="292"/>
      <c r="L41" s="292"/>
      <c r="M41" s="292"/>
      <c r="N41" s="292"/>
      <c r="O41" s="293"/>
    </row>
    <row r="42" spans="2:15" ht="15" x14ac:dyDescent="0.2">
      <c r="B42" s="294" t="s">
        <v>2</v>
      </c>
      <c r="C42" s="296" t="s">
        <v>265</v>
      </c>
      <c r="D42" s="298" t="s">
        <v>254</v>
      </c>
      <c r="E42" s="300" t="s">
        <v>255</v>
      </c>
      <c r="F42" s="298" t="s">
        <v>256</v>
      </c>
      <c r="G42" s="298"/>
      <c r="H42" s="298"/>
      <c r="I42" s="298"/>
      <c r="J42" s="298" t="s">
        <v>257</v>
      </c>
      <c r="K42" s="298"/>
      <c r="L42" s="298"/>
      <c r="M42" s="298"/>
      <c r="N42" s="298" t="s">
        <v>258</v>
      </c>
      <c r="O42" s="302"/>
    </row>
    <row r="43" spans="2:15" ht="60.75" thickBot="1" x14ac:dyDescent="0.25">
      <c r="B43" s="295"/>
      <c r="C43" s="297"/>
      <c r="D43" s="299"/>
      <c r="E43" s="301"/>
      <c r="F43" s="65" t="s">
        <v>259</v>
      </c>
      <c r="G43" s="65" t="s">
        <v>138</v>
      </c>
      <c r="H43" s="65" t="s">
        <v>260</v>
      </c>
      <c r="I43" s="65" t="s">
        <v>261</v>
      </c>
      <c r="J43" s="65" t="s">
        <v>262</v>
      </c>
      <c r="K43" s="65" t="s">
        <v>138</v>
      </c>
      <c r="L43" s="65" t="s">
        <v>263</v>
      </c>
      <c r="M43" s="65" t="s">
        <v>264</v>
      </c>
      <c r="N43" s="65" t="s">
        <v>259</v>
      </c>
      <c r="O43" s="66" t="s">
        <v>261</v>
      </c>
    </row>
    <row r="44" spans="2:15" x14ac:dyDescent="0.2">
      <c r="B44" s="191">
        <v>1</v>
      </c>
      <c r="C44" s="192" t="s">
        <v>469</v>
      </c>
      <c r="D44" s="193">
        <v>1000</v>
      </c>
      <c r="E44" s="260">
        <v>0</v>
      </c>
      <c r="F44" s="154">
        <f t="shared" ref="F44:F55" si="12">I27</f>
        <v>22.201953</v>
      </c>
      <c r="G44" s="154"/>
      <c r="H44" s="154"/>
      <c r="I44" s="153">
        <f>F44+G44+H44</f>
        <v>22.201953</v>
      </c>
      <c r="J44" s="154">
        <f t="shared" ref="J44:J55" si="13">M27</f>
        <v>0</v>
      </c>
      <c r="K44" s="194">
        <v>0</v>
      </c>
      <c r="L44" s="154"/>
      <c r="M44" s="153">
        <f>J44+K44+L44</f>
        <v>0</v>
      </c>
      <c r="N44" s="154">
        <f>+F44-J44</f>
        <v>22.201953</v>
      </c>
      <c r="O44" s="154">
        <f>+I44-M44</f>
        <v>22.201953</v>
      </c>
    </row>
    <row r="45" spans="2:15" x14ac:dyDescent="0.2">
      <c r="B45" s="191">
        <v>2</v>
      </c>
      <c r="C45" s="192" t="s">
        <v>470</v>
      </c>
      <c r="D45" s="193">
        <v>1010</v>
      </c>
      <c r="E45" s="260"/>
      <c r="F45" s="154">
        <f t="shared" si="12"/>
        <v>41.582841600000002</v>
      </c>
      <c r="G45" s="154"/>
      <c r="H45" s="154"/>
      <c r="I45" s="153">
        <f t="shared" ref="I45:I55" si="14">F45+G45+H45</f>
        <v>41.582841600000002</v>
      </c>
      <c r="J45" s="154">
        <f t="shared" si="13"/>
        <v>0</v>
      </c>
      <c r="K45" s="194">
        <v>0</v>
      </c>
      <c r="L45" s="154"/>
      <c r="M45" s="153">
        <f t="shared" ref="M45:M55" si="15">J45+K45+L45</f>
        <v>0</v>
      </c>
      <c r="N45" s="154">
        <f t="shared" ref="N45:N55" si="16">+F45-J45</f>
        <v>41.582841600000002</v>
      </c>
      <c r="O45" s="154">
        <f t="shared" ref="O45:O55" si="17">+I45-M45</f>
        <v>41.582841600000002</v>
      </c>
    </row>
    <row r="46" spans="2:15" x14ac:dyDescent="0.2">
      <c r="B46" s="191">
        <v>3</v>
      </c>
      <c r="C46" s="192" t="s">
        <v>471</v>
      </c>
      <c r="D46" s="193">
        <v>1100</v>
      </c>
      <c r="E46" s="261"/>
      <c r="F46" s="154">
        <f t="shared" si="12"/>
        <v>142.68600340200001</v>
      </c>
      <c r="G46" s="154"/>
      <c r="H46" s="154"/>
      <c r="I46" s="153">
        <f t="shared" si="14"/>
        <v>142.68600340200001</v>
      </c>
      <c r="J46" s="154">
        <f t="shared" si="13"/>
        <v>101.750876933</v>
      </c>
      <c r="K46" s="194">
        <v>1.8497012329999998</v>
      </c>
      <c r="L46" s="154"/>
      <c r="M46" s="153">
        <f t="shared" si="15"/>
        <v>103.60057816600001</v>
      </c>
      <c r="N46" s="154">
        <f t="shared" si="16"/>
        <v>40.935126469000011</v>
      </c>
      <c r="O46" s="154">
        <f t="shared" si="17"/>
        <v>39.085425236000006</v>
      </c>
    </row>
    <row r="47" spans="2:15" x14ac:dyDescent="0.2">
      <c r="B47" s="191">
        <v>4</v>
      </c>
      <c r="C47" s="192" t="s">
        <v>472</v>
      </c>
      <c r="D47" s="193">
        <v>1200</v>
      </c>
      <c r="E47" s="261"/>
      <c r="F47" s="154">
        <f t="shared" si="12"/>
        <v>165.50070170000001</v>
      </c>
      <c r="G47" s="154"/>
      <c r="H47" s="154"/>
      <c r="I47" s="153">
        <f t="shared" si="14"/>
        <v>165.50070170000001</v>
      </c>
      <c r="J47" s="154">
        <f t="shared" si="13"/>
        <v>146.96933950299999</v>
      </c>
      <c r="K47" s="194">
        <v>0.21164852999999997</v>
      </c>
      <c r="L47" s="154"/>
      <c r="M47" s="153">
        <f t="shared" si="15"/>
        <v>147.18098803299998</v>
      </c>
      <c r="N47" s="154">
        <f t="shared" si="16"/>
        <v>18.531362197000021</v>
      </c>
      <c r="O47" s="154">
        <f t="shared" si="17"/>
        <v>18.31971366700003</v>
      </c>
    </row>
    <row r="48" spans="2:15" x14ac:dyDescent="0.2">
      <c r="B48" s="191">
        <v>5</v>
      </c>
      <c r="C48" s="192" t="s">
        <v>473</v>
      </c>
      <c r="D48" s="193">
        <v>1300</v>
      </c>
      <c r="E48" s="261"/>
      <c r="F48" s="154">
        <f t="shared" si="12"/>
        <v>1797.2322885479996</v>
      </c>
      <c r="G48" s="154"/>
      <c r="H48" s="154"/>
      <c r="I48" s="153">
        <f t="shared" si="14"/>
        <v>1797.2322885479996</v>
      </c>
      <c r="J48" s="154">
        <f t="shared" si="13"/>
        <v>1634.1071223529998</v>
      </c>
      <c r="K48" s="194">
        <v>6.2857654659999991</v>
      </c>
      <c r="L48" s="154"/>
      <c r="M48" s="153">
        <f t="shared" si="15"/>
        <v>1640.3928878189997</v>
      </c>
      <c r="N48" s="154">
        <f t="shared" si="16"/>
        <v>163.12516619499979</v>
      </c>
      <c r="O48" s="154">
        <f t="shared" si="17"/>
        <v>156.83940072899986</v>
      </c>
    </row>
    <row r="49" spans="2:15" x14ac:dyDescent="0.2">
      <c r="B49" s="191">
        <v>6</v>
      </c>
      <c r="C49" s="192" t="s">
        <v>474</v>
      </c>
      <c r="D49" s="193">
        <v>1400</v>
      </c>
      <c r="E49" s="261"/>
      <c r="F49" s="154">
        <f t="shared" si="12"/>
        <v>27.445761599000001</v>
      </c>
      <c r="G49" s="154"/>
      <c r="H49" s="154"/>
      <c r="I49" s="153">
        <f t="shared" si="14"/>
        <v>27.445761599000001</v>
      </c>
      <c r="J49" s="154">
        <f t="shared" si="13"/>
        <v>13.159957413000001</v>
      </c>
      <c r="K49" s="194">
        <v>1.5170765509999999</v>
      </c>
      <c r="L49" s="154"/>
      <c r="M49" s="153">
        <f t="shared" si="15"/>
        <v>14.677033964000001</v>
      </c>
      <c r="N49" s="154">
        <f t="shared" si="16"/>
        <v>14.285804186</v>
      </c>
      <c r="O49" s="154">
        <f t="shared" si="17"/>
        <v>12.768727634999999</v>
      </c>
    </row>
    <row r="50" spans="2:15" x14ac:dyDescent="0.2">
      <c r="B50" s="191">
        <v>7</v>
      </c>
      <c r="C50" s="192" t="s">
        <v>475</v>
      </c>
      <c r="D50" s="193">
        <v>1500</v>
      </c>
      <c r="E50" s="261"/>
      <c r="F50" s="154">
        <f t="shared" si="12"/>
        <v>247.11513890100002</v>
      </c>
      <c r="G50" s="154"/>
      <c r="H50" s="154"/>
      <c r="I50" s="153">
        <f t="shared" si="14"/>
        <v>247.11513890100002</v>
      </c>
      <c r="J50" s="154">
        <f t="shared" si="13"/>
        <v>177.31445819799998</v>
      </c>
      <c r="K50" s="194">
        <v>3.4583708579999999</v>
      </c>
      <c r="L50" s="154"/>
      <c r="M50" s="153">
        <f t="shared" si="15"/>
        <v>180.77282905599998</v>
      </c>
      <c r="N50" s="154">
        <f t="shared" si="16"/>
        <v>69.80068070300004</v>
      </c>
      <c r="O50" s="154">
        <f t="shared" si="17"/>
        <v>66.342309845000045</v>
      </c>
    </row>
    <row r="51" spans="2:15" x14ac:dyDescent="0.2">
      <c r="B51" s="191">
        <v>8</v>
      </c>
      <c r="C51" s="192" t="s">
        <v>476</v>
      </c>
      <c r="D51" s="193">
        <v>1600</v>
      </c>
      <c r="E51" s="261"/>
      <c r="F51" s="154">
        <f t="shared" si="12"/>
        <v>83.994568712000003</v>
      </c>
      <c r="G51" s="154"/>
      <c r="H51" s="154"/>
      <c r="I51" s="153">
        <f t="shared" si="14"/>
        <v>83.994568712000003</v>
      </c>
      <c r="J51" s="154">
        <f t="shared" si="13"/>
        <v>39.199114072</v>
      </c>
      <c r="K51" s="194">
        <v>3.5550249699999981</v>
      </c>
      <c r="L51" s="154"/>
      <c r="M51" s="153">
        <f t="shared" si="15"/>
        <v>42.754139041999998</v>
      </c>
      <c r="N51" s="154">
        <f t="shared" si="16"/>
        <v>44.795454640000003</v>
      </c>
      <c r="O51" s="154">
        <f t="shared" si="17"/>
        <v>41.240429670000005</v>
      </c>
    </row>
    <row r="52" spans="2:15" x14ac:dyDescent="0.2">
      <c r="B52" s="191">
        <v>9</v>
      </c>
      <c r="C52" s="192" t="s">
        <v>477</v>
      </c>
      <c r="D52" s="193">
        <v>1700</v>
      </c>
      <c r="E52" s="261"/>
      <c r="F52" s="154">
        <f t="shared" si="12"/>
        <v>23.932888903999999</v>
      </c>
      <c r="G52" s="154"/>
      <c r="H52" s="154"/>
      <c r="I52" s="153">
        <f t="shared" si="14"/>
        <v>23.932888903999999</v>
      </c>
      <c r="J52" s="154">
        <f t="shared" si="13"/>
        <v>20.226556339000002</v>
      </c>
      <c r="K52" s="194">
        <v>1.432412392</v>
      </c>
      <c r="L52" s="154"/>
      <c r="M52" s="153">
        <f t="shared" si="15"/>
        <v>21.658968731000002</v>
      </c>
      <c r="N52" s="154">
        <f t="shared" si="16"/>
        <v>3.7063325649999967</v>
      </c>
      <c r="O52" s="154">
        <f t="shared" si="17"/>
        <v>2.2739201729999969</v>
      </c>
    </row>
    <row r="53" spans="2:15" x14ac:dyDescent="0.2">
      <c r="B53" s="191">
        <v>10</v>
      </c>
      <c r="C53" s="192" t="s">
        <v>478</v>
      </c>
      <c r="D53" s="193">
        <v>1800</v>
      </c>
      <c r="E53" s="261"/>
      <c r="F53" s="154">
        <f t="shared" si="12"/>
        <v>1.529904675</v>
      </c>
      <c r="G53" s="154"/>
      <c r="H53" s="154"/>
      <c r="I53" s="153">
        <f t="shared" si="14"/>
        <v>1.529904675</v>
      </c>
      <c r="J53" s="154">
        <f t="shared" si="13"/>
        <v>1.283557418</v>
      </c>
      <c r="K53" s="194"/>
      <c r="L53" s="154"/>
      <c r="M53" s="153">
        <f t="shared" si="15"/>
        <v>1.283557418</v>
      </c>
      <c r="N53" s="154">
        <f t="shared" si="16"/>
        <v>0.24634725700000004</v>
      </c>
      <c r="O53" s="154">
        <f t="shared" si="17"/>
        <v>0.24634725700000004</v>
      </c>
    </row>
    <row r="54" spans="2:15" x14ac:dyDescent="0.2">
      <c r="B54" s="191">
        <v>11</v>
      </c>
      <c r="C54" s="192" t="s">
        <v>411</v>
      </c>
      <c r="D54" s="193">
        <v>1900</v>
      </c>
      <c r="E54" s="261"/>
      <c r="F54" s="154">
        <f t="shared" si="12"/>
        <v>2.4936448199999997</v>
      </c>
      <c r="G54" s="154"/>
      <c r="H54" s="154"/>
      <c r="I54" s="153">
        <f t="shared" si="14"/>
        <v>2.4936448199999997</v>
      </c>
      <c r="J54" s="154">
        <f t="shared" si="13"/>
        <v>1.9625007219999999</v>
      </c>
      <c r="K54" s="194"/>
      <c r="L54" s="154"/>
      <c r="M54" s="153">
        <f t="shared" si="15"/>
        <v>1.9625007219999999</v>
      </c>
      <c r="N54" s="154">
        <f t="shared" si="16"/>
        <v>0.53114409799999973</v>
      </c>
      <c r="O54" s="154">
        <f t="shared" si="17"/>
        <v>0.53114409799999973</v>
      </c>
    </row>
    <row r="55" spans="2:15" x14ac:dyDescent="0.2">
      <c r="B55" s="191">
        <v>12</v>
      </c>
      <c r="C55" s="192" t="s">
        <v>479</v>
      </c>
      <c r="D55" s="193">
        <v>2100</v>
      </c>
      <c r="E55" s="261"/>
      <c r="F55" s="154">
        <f t="shared" si="12"/>
        <v>1.8360851869999999</v>
      </c>
      <c r="G55" s="154"/>
      <c r="H55" s="154"/>
      <c r="I55" s="153">
        <f t="shared" si="14"/>
        <v>1.8360851869999999</v>
      </c>
      <c r="J55" s="154">
        <f t="shared" si="13"/>
        <v>1.076517049</v>
      </c>
      <c r="K55" s="194"/>
      <c r="L55" s="154"/>
      <c r="M55" s="153">
        <f t="shared" si="15"/>
        <v>1.076517049</v>
      </c>
      <c r="N55" s="154">
        <f t="shared" si="16"/>
        <v>0.75956813799999989</v>
      </c>
      <c r="O55" s="154">
        <f t="shared" si="17"/>
        <v>0.75956813799999989</v>
      </c>
    </row>
    <row r="56" spans="2:15" s="49" customFormat="1" ht="15.75" thickBot="1" x14ac:dyDescent="0.25">
      <c r="B56" s="166"/>
      <c r="C56" s="167" t="s">
        <v>139</v>
      </c>
      <c r="D56" s="167"/>
      <c r="E56" s="262">
        <f>IFERROR((K56-L56)/AVERAGE(F56,I56),0)</f>
        <v>7.1591953236495856E-3</v>
      </c>
      <c r="F56" s="164">
        <f>ROUND(SUM(F44:F55),2)</f>
        <v>2557.5500000000002</v>
      </c>
      <c r="G56" s="164">
        <f t="shared" ref="G56:O56" si="18">ROUND(SUM(G44:G55),2)</f>
        <v>0</v>
      </c>
      <c r="H56" s="164">
        <f t="shared" si="18"/>
        <v>0</v>
      </c>
      <c r="I56" s="164">
        <f t="shared" si="18"/>
        <v>2557.5500000000002</v>
      </c>
      <c r="J56" s="164">
        <f t="shared" si="18"/>
        <v>2137.0500000000002</v>
      </c>
      <c r="K56" s="164">
        <f t="shared" si="18"/>
        <v>18.309999999999999</v>
      </c>
      <c r="L56" s="164">
        <f t="shared" si="18"/>
        <v>0</v>
      </c>
      <c r="M56" s="164">
        <f t="shared" si="18"/>
        <v>2155.36</v>
      </c>
      <c r="N56" s="164">
        <f t="shared" si="18"/>
        <v>420.5</v>
      </c>
      <c r="O56" s="164">
        <f t="shared" si="18"/>
        <v>402.19</v>
      </c>
    </row>
    <row r="57" spans="2:15" x14ac:dyDescent="0.2">
      <c r="K57" s="165"/>
      <c r="L57" s="165"/>
    </row>
    <row r="58" spans="2:15" x14ac:dyDescent="0.2">
      <c r="K58" s="165"/>
    </row>
  </sheetData>
  <mergeCells count="24">
    <mergeCell ref="J8:M8"/>
    <mergeCell ref="N8:O8"/>
    <mergeCell ref="B7:O7"/>
    <mergeCell ref="B8:B9"/>
    <mergeCell ref="C8:C9"/>
    <mergeCell ref="D8:D9"/>
    <mergeCell ref="E8:E9"/>
    <mergeCell ref="F8:I8"/>
    <mergeCell ref="B24:O24"/>
    <mergeCell ref="B25:B26"/>
    <mergeCell ref="C25:C26"/>
    <mergeCell ref="D25:D26"/>
    <mergeCell ref="E25:E26"/>
    <mergeCell ref="F25:I25"/>
    <mergeCell ref="J25:M25"/>
    <mergeCell ref="N25:O25"/>
    <mergeCell ref="B41:O41"/>
    <mergeCell ref="B42:B43"/>
    <mergeCell ref="C42:C43"/>
    <mergeCell ref="D42:D43"/>
    <mergeCell ref="E42:E43"/>
    <mergeCell ref="F42:I42"/>
    <mergeCell ref="J42:M42"/>
    <mergeCell ref="N42:O42"/>
  </mergeCells>
  <pageMargins left="0.27" right="0.25" top="0.25" bottom="0.25" header="0.25" footer="0.25"/>
  <pageSetup paperSize="9" scale="87" fitToHeight="0" orientation="landscape" r:id="rId1"/>
  <headerFooter alignWithMargins="0"/>
  <rowBreaks count="1" manualBreakCount="1">
    <brk id="2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60"/>
  <sheetViews>
    <sheetView topLeftCell="A8" zoomScale="98" zoomScaleNormal="98" zoomScaleSheetLayoutView="90" workbookViewId="0">
      <selection activeCell="I30" sqref="I30"/>
    </sheetView>
  </sheetViews>
  <sheetFormatPr defaultColWidth="9.28515625" defaultRowHeight="14.25" x14ac:dyDescent="0.2"/>
  <cols>
    <col min="1" max="1" width="2.7109375" style="5" customWidth="1"/>
    <col min="2" max="2" width="6.28515625" style="5" customWidth="1"/>
    <col min="3" max="3" width="56.7109375" style="5" customWidth="1"/>
    <col min="4" max="4" width="13.7109375" style="5" bestFit="1" customWidth="1"/>
    <col min="5" max="5" width="12.5703125" style="5" bestFit="1" customWidth="1"/>
    <col min="6" max="6" width="13.42578125" style="5" bestFit="1" customWidth="1"/>
    <col min="7" max="7" width="13.7109375" style="5" bestFit="1" customWidth="1"/>
    <col min="8" max="9" width="12.5703125" style="5" customWidth="1"/>
    <col min="10" max="13" width="11.7109375" style="5" bestFit="1" customWidth="1"/>
    <col min="14" max="16384" width="9.28515625" style="5"/>
  </cols>
  <sheetData>
    <row r="1" spans="2:10" ht="15" x14ac:dyDescent="0.2">
      <c r="B1" s="24"/>
    </row>
    <row r="2" spans="2:10" ht="15" x14ac:dyDescent="0.2">
      <c r="E2" s="32" t="s">
        <v>403</v>
      </c>
    </row>
    <row r="3" spans="2:10" ht="15" x14ac:dyDescent="0.2">
      <c r="E3" s="32" t="s">
        <v>468</v>
      </c>
    </row>
    <row r="4" spans="2:10" ht="15" x14ac:dyDescent="0.2">
      <c r="E4" s="35" t="s">
        <v>274</v>
      </c>
    </row>
    <row r="5" spans="2:10" ht="15" x14ac:dyDescent="0.2">
      <c r="B5" s="33" t="s">
        <v>57</v>
      </c>
      <c r="C5" s="24" t="s">
        <v>275</v>
      </c>
      <c r="J5" s="26" t="s">
        <v>4</v>
      </c>
    </row>
    <row r="6" spans="2:10" s="13" customFormat="1" ht="15" customHeight="1" x14ac:dyDescent="0.2">
      <c r="B6" s="273" t="s">
        <v>193</v>
      </c>
      <c r="C6" s="276" t="s">
        <v>18</v>
      </c>
      <c r="D6" s="280" t="s">
        <v>405</v>
      </c>
      <c r="E6" s="281"/>
      <c r="F6" s="282"/>
      <c r="G6" s="278" t="s">
        <v>406</v>
      </c>
      <c r="H6" s="278"/>
      <c r="I6" s="307" t="s">
        <v>467</v>
      </c>
      <c r="J6" s="308"/>
    </row>
    <row r="7" spans="2:10" s="13" customFormat="1" ht="45" x14ac:dyDescent="0.2">
      <c r="B7" s="274"/>
      <c r="C7" s="276"/>
      <c r="D7" s="15" t="s">
        <v>370</v>
      </c>
      <c r="E7" s="15" t="s">
        <v>240</v>
      </c>
      <c r="F7" s="15" t="s">
        <v>208</v>
      </c>
      <c r="G7" s="15" t="s">
        <v>370</v>
      </c>
      <c r="H7" s="15" t="s">
        <v>239</v>
      </c>
      <c r="I7" s="15" t="s">
        <v>370</v>
      </c>
      <c r="J7" s="15" t="s">
        <v>239</v>
      </c>
    </row>
    <row r="8" spans="2:10" s="13" customFormat="1" ht="30" x14ac:dyDescent="0.2">
      <c r="B8" s="275"/>
      <c r="C8" s="277"/>
      <c r="D8" s="15" t="s">
        <v>10</v>
      </c>
      <c r="E8" s="15" t="s">
        <v>12</v>
      </c>
      <c r="F8" s="15" t="s">
        <v>231</v>
      </c>
      <c r="G8" s="15" t="s">
        <v>10</v>
      </c>
      <c r="H8" s="15" t="s">
        <v>463</v>
      </c>
      <c r="I8" s="15" t="s">
        <v>10</v>
      </c>
      <c r="J8" s="15" t="s">
        <v>463</v>
      </c>
    </row>
    <row r="9" spans="2:10" x14ac:dyDescent="0.2">
      <c r="B9" s="62">
        <v>1</v>
      </c>
      <c r="C9" s="27" t="s">
        <v>176</v>
      </c>
      <c r="D9" s="2"/>
      <c r="E9" s="121">
        <f>'F4'!F22*70%</f>
        <v>1784.2789999999998</v>
      </c>
      <c r="F9" s="121">
        <f>E9</f>
        <v>1784.2789999999998</v>
      </c>
      <c r="G9" s="21"/>
      <c r="H9" s="113">
        <f>E9+E13</f>
        <v>1784.4739999999997</v>
      </c>
      <c r="I9" s="21"/>
      <c r="J9" s="113">
        <f>H9+H13</f>
        <v>1790.7139999999997</v>
      </c>
    </row>
    <row r="10" spans="2:10" x14ac:dyDescent="0.2">
      <c r="B10" s="20">
        <f>B9+1</f>
        <v>2</v>
      </c>
      <c r="C10" s="27" t="s">
        <v>177</v>
      </c>
      <c r="D10" s="2"/>
      <c r="E10" s="121">
        <f>'F4'!J22</f>
        <v>2101.66</v>
      </c>
      <c r="F10" s="121">
        <f>E10</f>
        <v>2101.66</v>
      </c>
      <c r="G10" s="113"/>
      <c r="H10" s="113">
        <f>'F4'!J39</f>
        <v>2119.16</v>
      </c>
      <c r="I10" s="21"/>
      <c r="J10" s="113">
        <f>H10+H14</f>
        <v>2137.0499999999997</v>
      </c>
    </row>
    <row r="11" spans="2:10" ht="15" x14ac:dyDescent="0.2">
      <c r="B11" s="20">
        <f t="shared" ref="B11:B21" si="0">B10+1</f>
        <v>3</v>
      </c>
      <c r="C11" s="29" t="s">
        <v>178</v>
      </c>
      <c r="D11" s="117">
        <f>D9-D10</f>
        <v>0</v>
      </c>
      <c r="E11" s="117">
        <f>IF((E9-E10)&lt;0,0,(E9-E10))</f>
        <v>0</v>
      </c>
      <c r="F11" s="117">
        <f>IF((F9-F10)&lt;0,0,(F9-F10))</f>
        <v>0</v>
      </c>
      <c r="G11" s="117">
        <f>IF((G9-G10)&lt;0,0,(G9-G10))</f>
        <v>0</v>
      </c>
      <c r="H11" s="117">
        <f>IF((H9-H10)&lt;0,0,(H9-H10))</f>
        <v>0</v>
      </c>
      <c r="I11" s="117"/>
      <c r="J11" s="117">
        <f>IF((J9-J10)&lt;0,0,(J9-J10))</f>
        <v>0</v>
      </c>
    </row>
    <row r="12" spans="2:10" ht="28.5" x14ac:dyDescent="0.2">
      <c r="B12" s="20">
        <f t="shared" si="0"/>
        <v>4</v>
      </c>
      <c r="C12" s="69" t="s">
        <v>179</v>
      </c>
      <c r="D12" s="119"/>
      <c r="E12" s="119"/>
      <c r="F12" s="119"/>
      <c r="G12" s="119"/>
      <c r="H12" s="119"/>
      <c r="I12" s="119"/>
      <c r="J12" s="119"/>
    </row>
    <row r="13" spans="2:10" s="32" customFormat="1" ht="28.5" x14ac:dyDescent="0.2">
      <c r="B13" s="20">
        <f t="shared" si="0"/>
        <v>5</v>
      </c>
      <c r="C13" s="37" t="s">
        <v>400</v>
      </c>
      <c r="D13" s="119"/>
      <c r="E13" s="127">
        <f>'F3'!E12*75%</f>
        <v>0.19500000000000001</v>
      </c>
      <c r="F13" s="127">
        <f>'F3'!F12*75%</f>
        <v>0.19500000000000001</v>
      </c>
      <c r="G13" s="127">
        <f>'F3'!G12*75%</f>
        <v>0</v>
      </c>
      <c r="H13" s="127">
        <f>'F3'!H12*75%</f>
        <v>6.24</v>
      </c>
      <c r="I13" s="127">
        <f>'F3'!I12*75%</f>
        <v>0</v>
      </c>
      <c r="J13" s="127">
        <f>'F3'!J12*75%</f>
        <v>0</v>
      </c>
    </row>
    <row r="14" spans="2:10" x14ac:dyDescent="0.2">
      <c r="B14" s="20">
        <f t="shared" si="0"/>
        <v>6</v>
      </c>
      <c r="C14" s="69" t="s">
        <v>184</v>
      </c>
      <c r="D14" s="135"/>
      <c r="E14" s="135">
        <f>'F1'!G11</f>
        <v>17.5</v>
      </c>
      <c r="F14" s="135">
        <f>'F1'!H11</f>
        <v>17.5</v>
      </c>
      <c r="G14" s="135">
        <f>'F1'!I11</f>
        <v>88.68</v>
      </c>
      <c r="H14" s="135">
        <f>'F1'!J11</f>
        <v>17.89</v>
      </c>
      <c r="I14" s="135">
        <f>'F1'!K11</f>
        <v>88.68</v>
      </c>
      <c r="J14" s="135">
        <f>'F1'!L11</f>
        <v>18.309999999999999</v>
      </c>
    </row>
    <row r="15" spans="2:10" ht="15" x14ac:dyDescent="0.2">
      <c r="B15" s="20">
        <f t="shared" si="0"/>
        <v>7</v>
      </c>
      <c r="C15" s="27" t="s">
        <v>180</v>
      </c>
      <c r="D15" s="117"/>
      <c r="E15" s="117">
        <f>IF((E11-E12+E13-E14)&lt;0,0,(E11-E12+E13-E14))</f>
        <v>0</v>
      </c>
      <c r="F15" s="117">
        <f>IF((F11-F12+F13-F14)&lt;0,0,(F11-F12+F13-F14))</f>
        <v>0</v>
      </c>
      <c r="G15" s="117"/>
      <c r="H15" s="117">
        <f>IF((H11-H12+H13-H14)&lt;0,0,(H11-H12+H13-H14))</f>
        <v>0</v>
      </c>
      <c r="I15" s="117"/>
      <c r="J15" s="117">
        <f>IF((J11-J12+J13-J14)&lt;0,0,(J11-J12+J13-J14))</f>
        <v>0</v>
      </c>
    </row>
    <row r="16" spans="2:10" ht="15" x14ac:dyDescent="0.2">
      <c r="B16" s="20">
        <f t="shared" si="0"/>
        <v>8</v>
      </c>
      <c r="C16" s="27" t="s">
        <v>181</v>
      </c>
      <c r="D16" s="117"/>
      <c r="E16" s="117">
        <f t="shared" ref="E16:J16" si="1">E9-E12+E13-E14</f>
        <v>1766.9739999999997</v>
      </c>
      <c r="F16" s="117">
        <f t="shared" si="1"/>
        <v>1766.9739999999997</v>
      </c>
      <c r="G16" s="117"/>
      <c r="H16" s="117">
        <f t="shared" si="1"/>
        <v>1772.8239999999996</v>
      </c>
      <c r="I16" s="117"/>
      <c r="J16" s="117">
        <f t="shared" si="1"/>
        <v>1772.4039999999998</v>
      </c>
    </row>
    <row r="17" spans="2:10" ht="15" x14ac:dyDescent="0.2">
      <c r="B17" s="20">
        <f t="shared" si="0"/>
        <v>9</v>
      </c>
      <c r="C17" s="27" t="s">
        <v>214</v>
      </c>
      <c r="D17" s="117"/>
      <c r="E17" s="117">
        <f t="shared" ref="E17:J17" si="2">AVERAGE(E11,E15)</f>
        <v>0</v>
      </c>
      <c r="F17" s="117">
        <f t="shared" si="2"/>
        <v>0</v>
      </c>
      <c r="G17" s="117"/>
      <c r="H17" s="117">
        <f t="shared" si="2"/>
        <v>0</v>
      </c>
      <c r="I17" s="117"/>
      <c r="J17" s="117">
        <f t="shared" si="2"/>
        <v>0</v>
      </c>
    </row>
    <row r="18" spans="2:10" x14ac:dyDescent="0.2">
      <c r="B18" s="20">
        <f t="shared" si="0"/>
        <v>10</v>
      </c>
      <c r="C18" s="69" t="s">
        <v>213</v>
      </c>
      <c r="D18" s="118"/>
      <c r="E18" s="118">
        <v>9.9500000000000005E-2</v>
      </c>
      <c r="F18" s="118">
        <f>E18</f>
        <v>9.9500000000000005E-2</v>
      </c>
      <c r="G18" s="118"/>
      <c r="H18" s="118">
        <v>9.9500000000000005E-2</v>
      </c>
      <c r="I18" s="118"/>
      <c r="J18" s="118">
        <v>9.9500000000000005E-2</v>
      </c>
    </row>
    <row r="19" spans="2:10" ht="15" x14ac:dyDescent="0.2">
      <c r="B19" s="20">
        <f t="shared" si="0"/>
        <v>11</v>
      </c>
      <c r="C19" s="27" t="s">
        <v>276</v>
      </c>
      <c r="D19" s="117">
        <f>D17*D18</f>
        <v>0</v>
      </c>
      <c r="E19" s="117">
        <f>E17*E18</f>
        <v>0</v>
      </c>
      <c r="F19" s="117">
        <f>F17*F18</f>
        <v>0</v>
      </c>
      <c r="G19" s="117">
        <f>G17*G18</f>
        <v>0</v>
      </c>
      <c r="H19" s="117">
        <f>H17*H18</f>
        <v>0</v>
      </c>
      <c r="I19" s="117"/>
      <c r="J19" s="117">
        <f>J17*J18</f>
        <v>0</v>
      </c>
    </row>
    <row r="20" spans="2:10" x14ac:dyDescent="0.2">
      <c r="B20" s="20">
        <f t="shared" si="0"/>
        <v>12</v>
      </c>
      <c r="C20" s="27" t="s">
        <v>279</v>
      </c>
      <c r="D20" s="70"/>
      <c r="E20" s="70"/>
      <c r="F20" s="70"/>
      <c r="G20" s="70"/>
      <c r="H20" s="70"/>
      <c r="I20" s="70"/>
      <c r="J20" s="70"/>
    </row>
    <row r="21" spans="2:10" ht="15" x14ac:dyDescent="0.2">
      <c r="B21" s="20">
        <f t="shared" si="0"/>
        <v>13</v>
      </c>
      <c r="C21" s="27" t="s">
        <v>280</v>
      </c>
      <c r="D21" s="117">
        <v>0</v>
      </c>
      <c r="E21" s="117">
        <f>IF((E19+E20)&lt;0,0,(E19+E20))</f>
        <v>0</v>
      </c>
      <c r="F21" s="117">
        <f>IF((F19+F20)&lt;0,0,(F19+F20))</f>
        <v>0</v>
      </c>
      <c r="G21" s="117">
        <v>0</v>
      </c>
      <c r="H21" s="117">
        <f>IF((H19+H20)&lt;0,0,(H19+H20))</f>
        <v>0</v>
      </c>
      <c r="I21" s="117">
        <v>0</v>
      </c>
      <c r="J21" s="117">
        <f>IF((J19+J20)&lt;0,0,(J19+J20))</f>
        <v>0</v>
      </c>
    </row>
    <row r="22" spans="2:10" x14ac:dyDescent="0.2">
      <c r="B22" s="34"/>
      <c r="C22" s="5" t="s">
        <v>242</v>
      </c>
    </row>
    <row r="23" spans="2:10" x14ac:dyDescent="0.2">
      <c r="C23" s="5" t="s">
        <v>401</v>
      </c>
    </row>
    <row r="25" spans="2:10" ht="15" x14ac:dyDescent="0.2">
      <c r="B25" s="33" t="s">
        <v>62</v>
      </c>
      <c r="C25" s="24" t="s">
        <v>277</v>
      </c>
    </row>
    <row r="27" spans="2:10" ht="15" customHeight="1" x14ac:dyDescent="0.2">
      <c r="B27" s="273" t="s">
        <v>193</v>
      </c>
      <c r="C27" s="276" t="s">
        <v>18</v>
      </c>
      <c r="D27" s="68" t="s">
        <v>404</v>
      </c>
      <c r="E27" s="68" t="s">
        <v>405</v>
      </c>
      <c r="F27" s="15" t="s">
        <v>406</v>
      </c>
    </row>
    <row r="28" spans="2:10" ht="15" x14ac:dyDescent="0.2">
      <c r="B28" s="274"/>
      <c r="C28" s="276"/>
      <c r="D28" s="15" t="s">
        <v>240</v>
      </c>
      <c r="E28" s="15" t="s">
        <v>239</v>
      </c>
      <c r="F28" s="15" t="s">
        <v>239</v>
      </c>
    </row>
    <row r="29" spans="2:10" ht="15" x14ac:dyDescent="0.2">
      <c r="B29" s="275"/>
      <c r="C29" s="277"/>
      <c r="D29" s="15" t="s">
        <v>12</v>
      </c>
      <c r="E29" s="15" t="s">
        <v>5</v>
      </c>
      <c r="F29" s="15" t="s">
        <v>8</v>
      </c>
    </row>
    <row r="30" spans="2:10" ht="15" x14ac:dyDescent="0.2">
      <c r="B30" s="20">
        <v>1</v>
      </c>
      <c r="C30" s="39" t="s">
        <v>192</v>
      </c>
      <c r="D30" s="27"/>
      <c r="E30" s="27"/>
      <c r="F30" s="27"/>
    </row>
    <row r="31" spans="2:10" x14ac:dyDescent="0.2">
      <c r="B31" s="27"/>
      <c r="C31" s="27" t="s">
        <v>13</v>
      </c>
      <c r="D31" s="27"/>
      <c r="E31" s="27"/>
      <c r="F31" s="27"/>
    </row>
    <row r="32" spans="2:10" x14ac:dyDescent="0.2">
      <c r="B32" s="27"/>
      <c r="C32" s="27" t="s">
        <v>168</v>
      </c>
      <c r="D32" s="27"/>
      <c r="E32" s="27"/>
      <c r="F32" s="27"/>
    </row>
    <row r="33" spans="2:6" x14ac:dyDescent="0.2">
      <c r="B33" s="27"/>
      <c r="C33" s="27" t="s">
        <v>14</v>
      </c>
      <c r="D33" s="27"/>
      <c r="E33" s="27"/>
      <c r="F33" s="27"/>
    </row>
    <row r="34" spans="2:6" ht="15" x14ac:dyDescent="0.2">
      <c r="B34" s="27"/>
      <c r="C34" s="27" t="s">
        <v>15</v>
      </c>
      <c r="D34" s="115">
        <f>D31+D32-D33</f>
        <v>0</v>
      </c>
      <c r="E34" s="115">
        <f>E31+E32-E33</f>
        <v>0</v>
      </c>
      <c r="F34" s="115">
        <f>F31+F32-F33</f>
        <v>0</v>
      </c>
    </row>
    <row r="35" spans="2:6" ht="15" x14ac:dyDescent="0.2">
      <c r="B35" s="27"/>
      <c r="C35" s="27" t="s">
        <v>215</v>
      </c>
      <c r="D35" s="115">
        <f>AVERAGE(D31,D34)</f>
        <v>0</v>
      </c>
      <c r="E35" s="115">
        <f>AVERAGE(E31,E34)</f>
        <v>0</v>
      </c>
      <c r="F35" s="115">
        <f>AVERAGE(F31,F34)</f>
        <v>0</v>
      </c>
    </row>
    <row r="36" spans="2:6" x14ac:dyDescent="0.2">
      <c r="B36" s="27"/>
      <c r="C36" s="27" t="s">
        <v>16</v>
      </c>
      <c r="D36" s="120"/>
      <c r="E36" s="120"/>
      <c r="F36" s="120"/>
    </row>
    <row r="37" spans="2:6" ht="15" x14ac:dyDescent="0.2">
      <c r="B37" s="27"/>
      <c r="C37" s="27" t="s">
        <v>276</v>
      </c>
      <c r="D37" s="115">
        <f>D35*D36</f>
        <v>0</v>
      </c>
      <c r="E37" s="115">
        <f>E35*E36</f>
        <v>0</v>
      </c>
      <c r="F37" s="115">
        <f>F35*F36</f>
        <v>0</v>
      </c>
    </row>
    <row r="38" spans="2:6" x14ac:dyDescent="0.2">
      <c r="B38" s="27"/>
      <c r="C38" s="27" t="s">
        <v>279</v>
      </c>
      <c r="D38" s="121"/>
      <c r="E38" s="121"/>
      <c r="F38" s="121"/>
    </row>
    <row r="39" spans="2:6" ht="15" x14ac:dyDescent="0.2">
      <c r="B39" s="27"/>
      <c r="C39" s="27" t="s">
        <v>280</v>
      </c>
      <c r="D39" s="115">
        <f>D37+D38</f>
        <v>0</v>
      </c>
      <c r="E39" s="115">
        <f>E37+E38</f>
        <v>0</v>
      </c>
      <c r="F39" s="115">
        <f>F37+F38</f>
        <v>0</v>
      </c>
    </row>
    <row r="40" spans="2:6" ht="15" x14ac:dyDescent="0.2">
      <c r="B40" s="20">
        <v>2</v>
      </c>
      <c r="C40" s="39" t="s">
        <v>191</v>
      </c>
      <c r="D40" s="121"/>
      <c r="E40" s="121"/>
      <c r="F40" s="121"/>
    </row>
    <row r="41" spans="2:6" x14ac:dyDescent="0.2">
      <c r="B41" s="27"/>
      <c r="C41" s="27" t="s">
        <v>13</v>
      </c>
      <c r="D41" s="121"/>
      <c r="E41" s="121"/>
      <c r="F41" s="121"/>
    </row>
    <row r="42" spans="2:6" x14ac:dyDescent="0.2">
      <c r="B42" s="27"/>
      <c r="C42" s="27" t="s">
        <v>168</v>
      </c>
      <c r="D42" s="121"/>
      <c r="E42" s="121"/>
      <c r="F42" s="121"/>
    </row>
    <row r="43" spans="2:6" x14ac:dyDescent="0.2">
      <c r="B43" s="27"/>
      <c r="C43" s="27" t="s">
        <v>14</v>
      </c>
      <c r="D43" s="121"/>
      <c r="E43" s="121"/>
      <c r="F43" s="121"/>
    </row>
    <row r="44" spans="2:6" ht="15" x14ac:dyDescent="0.2">
      <c r="B44" s="27"/>
      <c r="C44" s="27" t="s">
        <v>15</v>
      </c>
      <c r="D44" s="115">
        <f>D41+D42-D43</f>
        <v>0</v>
      </c>
      <c r="E44" s="115">
        <f>E41+E42-E43</f>
        <v>0</v>
      </c>
      <c r="F44" s="115">
        <f>F41+F42-F43</f>
        <v>0</v>
      </c>
    </row>
    <row r="45" spans="2:6" ht="15" x14ac:dyDescent="0.2">
      <c r="B45" s="27"/>
      <c r="C45" s="27" t="s">
        <v>215</v>
      </c>
      <c r="D45" s="115">
        <f>AVERAGE(D41,D44)</f>
        <v>0</v>
      </c>
      <c r="E45" s="115">
        <f>AVERAGE(E41,E44)</f>
        <v>0</v>
      </c>
      <c r="F45" s="115">
        <f>AVERAGE(F41,F44)</f>
        <v>0</v>
      </c>
    </row>
    <row r="46" spans="2:6" x14ac:dyDescent="0.2">
      <c r="B46" s="27"/>
      <c r="C46" s="27" t="s">
        <v>16</v>
      </c>
      <c r="D46" s="120"/>
      <c r="E46" s="120"/>
      <c r="F46" s="120"/>
    </row>
    <row r="47" spans="2:6" ht="15" x14ac:dyDescent="0.2">
      <c r="B47" s="27"/>
      <c r="C47" s="27" t="s">
        <v>276</v>
      </c>
      <c r="D47" s="115">
        <f>D45*D46</f>
        <v>0</v>
      </c>
      <c r="E47" s="115">
        <f>E45*E46</f>
        <v>0</v>
      </c>
      <c r="F47" s="115">
        <f>F45*F46</f>
        <v>0</v>
      </c>
    </row>
    <row r="48" spans="2:6" x14ac:dyDescent="0.2">
      <c r="B48" s="27"/>
      <c r="C48" s="27" t="s">
        <v>279</v>
      </c>
      <c r="D48" s="121"/>
      <c r="E48" s="121"/>
      <c r="F48" s="121"/>
    </row>
    <row r="49" spans="2:6" ht="15" x14ac:dyDescent="0.2">
      <c r="B49" s="27"/>
      <c r="C49" s="27" t="s">
        <v>280</v>
      </c>
      <c r="D49" s="115">
        <f>D47+D48</f>
        <v>0</v>
      </c>
      <c r="E49" s="115">
        <f>E47+E48</f>
        <v>0</v>
      </c>
      <c r="F49" s="115">
        <f>F47+F48</f>
        <v>0</v>
      </c>
    </row>
    <row r="50" spans="2:6" x14ac:dyDescent="0.2">
      <c r="B50" s="27"/>
      <c r="C50" s="27" t="s">
        <v>278</v>
      </c>
      <c r="D50" s="121"/>
      <c r="E50" s="121"/>
      <c r="F50" s="121"/>
    </row>
    <row r="51" spans="2:6" ht="15" x14ac:dyDescent="0.2">
      <c r="B51" s="20"/>
      <c r="C51" s="39" t="s">
        <v>139</v>
      </c>
      <c r="D51" s="121"/>
      <c r="E51" s="121"/>
      <c r="F51" s="121"/>
    </row>
    <row r="52" spans="2:6" ht="15" x14ac:dyDescent="0.2">
      <c r="B52" s="27"/>
      <c r="C52" s="27" t="s">
        <v>13</v>
      </c>
      <c r="D52" s="115">
        <f>D31+D41</f>
        <v>0</v>
      </c>
      <c r="E52" s="115">
        <f t="shared" ref="E52:F54" si="3">E31+E41</f>
        <v>0</v>
      </c>
      <c r="F52" s="115">
        <f t="shared" si="3"/>
        <v>0</v>
      </c>
    </row>
    <row r="53" spans="2:6" ht="15" x14ac:dyDescent="0.2">
      <c r="B53" s="27"/>
      <c r="C53" s="27" t="s">
        <v>168</v>
      </c>
      <c r="D53" s="115">
        <f>D32+D42</f>
        <v>0</v>
      </c>
      <c r="E53" s="115">
        <f t="shared" si="3"/>
        <v>0</v>
      </c>
      <c r="F53" s="115">
        <f t="shared" si="3"/>
        <v>0</v>
      </c>
    </row>
    <row r="54" spans="2:6" ht="15" x14ac:dyDescent="0.2">
      <c r="B54" s="27"/>
      <c r="C54" s="27" t="s">
        <v>14</v>
      </c>
      <c r="D54" s="115">
        <f>D33+D43</f>
        <v>0</v>
      </c>
      <c r="E54" s="115">
        <f t="shared" si="3"/>
        <v>0</v>
      </c>
      <c r="F54" s="115">
        <f t="shared" si="3"/>
        <v>0</v>
      </c>
    </row>
    <row r="55" spans="2:6" ht="15" x14ac:dyDescent="0.2">
      <c r="B55" s="27"/>
      <c r="C55" s="27" t="s">
        <v>15</v>
      </c>
      <c r="D55" s="115">
        <f>D52+D53-D54</f>
        <v>0</v>
      </c>
      <c r="E55" s="115">
        <f>E52+E53-E54</f>
        <v>0</v>
      </c>
      <c r="F55" s="115">
        <f>F52+F53-F54</f>
        <v>0</v>
      </c>
    </row>
    <row r="56" spans="2:6" ht="15" x14ac:dyDescent="0.2">
      <c r="B56" s="27"/>
      <c r="C56" s="27" t="s">
        <v>215</v>
      </c>
      <c r="D56" s="115">
        <f>AVERAGE(D52,D55)</f>
        <v>0</v>
      </c>
      <c r="E56" s="115">
        <f>AVERAGE(E52,E55)</f>
        <v>0</v>
      </c>
      <c r="F56" s="115">
        <f>AVERAGE(F52,F55)</f>
        <v>0</v>
      </c>
    </row>
    <row r="57" spans="2:6" ht="15" x14ac:dyDescent="0.2">
      <c r="B57" s="27"/>
      <c r="C57" s="27" t="s">
        <v>16</v>
      </c>
      <c r="D57" s="136">
        <f>IFERROR(D58/D56,0)</f>
        <v>0</v>
      </c>
      <c r="E57" s="136">
        <f>IFERROR(E58/E56,0)</f>
        <v>0</v>
      </c>
      <c r="F57" s="136">
        <f>IFERROR(F58/F56,0)</f>
        <v>0</v>
      </c>
    </row>
    <row r="58" spans="2:6" ht="15" x14ac:dyDescent="0.2">
      <c r="B58" s="27"/>
      <c r="C58" s="27" t="s">
        <v>276</v>
      </c>
      <c r="D58" s="115">
        <f t="shared" ref="D58:F59" si="4">D37+D47</f>
        <v>0</v>
      </c>
      <c r="E58" s="115">
        <f t="shared" si="4"/>
        <v>0</v>
      </c>
      <c r="F58" s="115">
        <f t="shared" si="4"/>
        <v>0</v>
      </c>
    </row>
    <row r="59" spans="2:6" ht="15" x14ac:dyDescent="0.2">
      <c r="B59" s="27"/>
      <c r="C59" s="27" t="s">
        <v>279</v>
      </c>
      <c r="D59" s="115">
        <f t="shared" si="4"/>
        <v>0</v>
      </c>
      <c r="E59" s="115">
        <f t="shared" si="4"/>
        <v>0</v>
      </c>
      <c r="F59" s="115">
        <f t="shared" si="4"/>
        <v>0</v>
      </c>
    </row>
    <row r="60" spans="2:6" ht="15" x14ac:dyDescent="0.2">
      <c r="B60" s="27"/>
      <c r="C60" s="27" t="s">
        <v>280</v>
      </c>
      <c r="D60" s="115">
        <f>D58+D59</f>
        <v>0</v>
      </c>
      <c r="E60" s="115">
        <f>E58+E59</f>
        <v>0</v>
      </c>
      <c r="F60" s="115">
        <f>F58+F59</f>
        <v>0</v>
      </c>
    </row>
  </sheetData>
  <mergeCells count="7">
    <mergeCell ref="B27:B29"/>
    <mergeCell ref="C27:C29"/>
    <mergeCell ref="I6:J6"/>
    <mergeCell ref="B6:B8"/>
    <mergeCell ref="C6:C8"/>
    <mergeCell ref="D6:F6"/>
    <mergeCell ref="G6:H6"/>
  </mergeCells>
  <pageMargins left="0.27559055118110237" right="0.23622047244094491" top="0.23622047244094491" bottom="0.23622047244094491" header="0.23622047244094491" footer="0.23622047244094491"/>
  <pageSetup paperSize="9" scale="93" fitToHeight="0" orientation="landscape" r:id="rId1"/>
  <headerFooter alignWithMargins="0"/>
  <rowBreaks count="1" manualBreakCount="1">
    <brk id="2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1"/>
  <sheetViews>
    <sheetView showGridLines="0" zoomScale="95" zoomScaleNormal="95" zoomScaleSheetLayoutView="90" workbookViewId="0">
      <selection activeCell="J17" sqref="J17"/>
    </sheetView>
  </sheetViews>
  <sheetFormatPr defaultColWidth="9.28515625" defaultRowHeight="14.25" x14ac:dyDescent="0.2"/>
  <cols>
    <col min="1" max="1" width="4.28515625" style="5" customWidth="1"/>
    <col min="2" max="2" width="6.28515625" style="5" customWidth="1"/>
    <col min="3" max="3" width="35.5703125" style="5" customWidth="1"/>
    <col min="4" max="4" width="13.7109375" style="5" bestFit="1" customWidth="1"/>
    <col min="5" max="5" width="12.5703125" style="5" bestFit="1" customWidth="1"/>
    <col min="6" max="6" width="13.42578125" style="5" bestFit="1" customWidth="1"/>
    <col min="7" max="7" width="13.7109375" style="5" bestFit="1" customWidth="1"/>
    <col min="8" max="9" width="12.5703125" style="5" customWidth="1"/>
    <col min="10" max="10" width="14.42578125" style="5" bestFit="1" customWidth="1"/>
    <col min="11" max="13" width="11.7109375" style="5" bestFit="1" customWidth="1"/>
    <col min="14" max="16384" width="9.28515625" style="5"/>
  </cols>
  <sheetData>
    <row r="1" spans="2:12" ht="15" x14ac:dyDescent="0.2">
      <c r="B1" s="24"/>
    </row>
    <row r="2" spans="2:12" ht="15" x14ac:dyDescent="0.2">
      <c r="E2" s="32" t="s">
        <v>403</v>
      </c>
    </row>
    <row r="3" spans="2:12" ht="15" x14ac:dyDescent="0.2">
      <c r="E3" s="32" t="s">
        <v>468</v>
      </c>
    </row>
    <row r="4" spans="2:12" ht="15" x14ac:dyDescent="0.2">
      <c r="E4" s="35" t="s">
        <v>281</v>
      </c>
    </row>
    <row r="5" spans="2:12" ht="15" x14ac:dyDescent="0.2">
      <c r="J5" s="26" t="s">
        <v>4</v>
      </c>
    </row>
    <row r="6" spans="2:12" s="13" customFormat="1" ht="15" customHeight="1" x14ac:dyDescent="0.2">
      <c r="B6" s="273" t="s">
        <v>193</v>
      </c>
      <c r="C6" s="276" t="s">
        <v>18</v>
      </c>
      <c r="D6" s="280" t="s">
        <v>405</v>
      </c>
      <c r="E6" s="281"/>
      <c r="F6" s="282"/>
      <c r="G6" s="280" t="s">
        <v>406</v>
      </c>
      <c r="H6" s="282"/>
      <c r="I6" s="280" t="s">
        <v>467</v>
      </c>
      <c r="J6" s="282"/>
    </row>
    <row r="7" spans="2:12" s="13" customFormat="1" ht="45" x14ac:dyDescent="0.2">
      <c r="B7" s="274"/>
      <c r="C7" s="276"/>
      <c r="D7" s="15" t="s">
        <v>370</v>
      </c>
      <c r="E7" s="15" t="s">
        <v>240</v>
      </c>
      <c r="F7" s="15" t="s">
        <v>208</v>
      </c>
      <c r="G7" s="15" t="s">
        <v>370</v>
      </c>
      <c r="H7" s="15" t="s">
        <v>239</v>
      </c>
      <c r="I7" s="15" t="s">
        <v>370</v>
      </c>
      <c r="J7" s="15" t="s">
        <v>229</v>
      </c>
    </row>
    <row r="8" spans="2:12" s="13" customFormat="1" ht="30" x14ac:dyDescent="0.2">
      <c r="B8" s="275"/>
      <c r="C8" s="277"/>
      <c r="D8" s="15" t="s">
        <v>10</v>
      </c>
      <c r="E8" s="15" t="s">
        <v>12</v>
      </c>
      <c r="F8" s="15" t="s">
        <v>231</v>
      </c>
      <c r="G8" s="15" t="s">
        <v>10</v>
      </c>
      <c r="H8" s="15" t="s">
        <v>463</v>
      </c>
      <c r="I8" s="15" t="s">
        <v>10</v>
      </c>
      <c r="J8" s="15" t="s">
        <v>463</v>
      </c>
    </row>
    <row r="9" spans="2:12" x14ac:dyDescent="0.2">
      <c r="B9" s="62">
        <v>1</v>
      </c>
      <c r="C9" s="27" t="s">
        <v>282</v>
      </c>
      <c r="D9" s="2"/>
      <c r="E9" s="121">
        <f>500*24*20*85%*(1-0.0525)*'F12'!F17/10000</f>
        <v>71.004477699397171</v>
      </c>
      <c r="F9" s="127">
        <f>E9</f>
        <v>71.004477699397171</v>
      </c>
      <c r="G9" s="132"/>
      <c r="H9" s="132">
        <f>500*24*20*85%*(1-0.0525)*'F12'!I17/10000</f>
        <v>60.770375999999999</v>
      </c>
      <c r="I9" s="132"/>
      <c r="J9" s="132">
        <f>500*24*20*85%*(1-0.0525)*'F12'!K17/10000</f>
        <v>55.725506999999993</v>
      </c>
    </row>
    <row r="10" spans="2:12" x14ac:dyDescent="0.2">
      <c r="B10" s="20">
        <f>B9+1</f>
        <v>2</v>
      </c>
      <c r="C10" s="27" t="s">
        <v>283</v>
      </c>
      <c r="D10" s="2"/>
      <c r="E10" s="121">
        <f>500*24*30*85%*(1-0.0525)*'F12'!G17/10000</f>
        <v>106.50671654909574</v>
      </c>
      <c r="F10" s="127">
        <f>E10</f>
        <v>106.50671654909574</v>
      </c>
      <c r="G10" s="132"/>
      <c r="H10" s="132">
        <f>500*24*30*85%*(1-0.0525)*'F12'!I17/10000</f>
        <v>91.155563999999998</v>
      </c>
      <c r="I10" s="132"/>
      <c r="J10" s="132">
        <f>500*24*30*85%*(1-0.0525)*'F12'!K17/10000</f>
        <v>83.588260500000004</v>
      </c>
    </row>
    <row r="11" spans="2:12" x14ac:dyDescent="0.2">
      <c r="B11" s="20">
        <f t="shared" ref="B11:B19" si="0">B10+1</f>
        <v>3</v>
      </c>
      <c r="C11" s="29" t="s">
        <v>284</v>
      </c>
      <c r="D11" s="2"/>
      <c r="E11" s="121">
        <f>500*24*85%*(1-0.0525)*'F12'!G18*30/10000</f>
        <v>0.76732551908117552</v>
      </c>
      <c r="F11" s="127">
        <f>E11</f>
        <v>0.76732551908117552</v>
      </c>
      <c r="G11" s="132"/>
      <c r="H11" s="132">
        <f>500*24*85%*(1-0.0525)*'F12'!I18*30/10000</f>
        <v>1.0147725000000003</v>
      </c>
      <c r="I11" s="132"/>
      <c r="J11" s="132">
        <f>500*24*85%*(1-0.0525)*'F12'!K18*30/10000</f>
        <v>1.0727594999999999</v>
      </c>
    </row>
    <row r="12" spans="2:12" x14ac:dyDescent="0.2">
      <c r="B12" s="20">
        <f t="shared" si="0"/>
        <v>4</v>
      </c>
      <c r="C12" s="69" t="s">
        <v>285</v>
      </c>
      <c r="D12" s="119"/>
      <c r="E12" s="119">
        <f>'F2'!F14/12</f>
        <v>19.523333333333333</v>
      </c>
      <c r="F12" s="145">
        <f>'F2'!G14/12</f>
        <v>19.523333333333333</v>
      </c>
      <c r="G12" s="145"/>
      <c r="H12" s="145">
        <f>'F2'!I14/12</f>
        <v>20.555833333333332</v>
      </c>
      <c r="I12" s="145"/>
      <c r="J12" s="145">
        <f>'F2'!K14/12</f>
        <v>21.458333333333332</v>
      </c>
    </row>
    <row r="13" spans="2:12" s="32" customFormat="1" ht="15" x14ac:dyDescent="0.2">
      <c r="B13" s="20">
        <f t="shared" si="0"/>
        <v>5</v>
      </c>
      <c r="C13" s="37" t="s">
        <v>286</v>
      </c>
      <c r="D13" s="70"/>
      <c r="E13" s="127">
        <f>'F4'!F22*1%</f>
        <v>25.489699999999999</v>
      </c>
      <c r="F13" s="127">
        <f>E13</f>
        <v>25.489699999999999</v>
      </c>
      <c r="G13" s="127"/>
      <c r="H13" s="127">
        <f>'F4'!F39*1%</f>
        <v>25.4923</v>
      </c>
      <c r="I13" s="127"/>
      <c r="J13" s="127">
        <f>'F4'!F56*1%</f>
        <v>25.575500000000002</v>
      </c>
    </row>
    <row r="14" spans="2:12" x14ac:dyDescent="0.2">
      <c r="B14" s="20">
        <f t="shared" si="0"/>
        <v>6</v>
      </c>
      <c r="C14" s="69" t="s">
        <v>397</v>
      </c>
      <c r="D14" s="119"/>
      <c r="E14" s="119">
        <f ca="1">(E10*45/30+E11*45/30+'F1'!G16*45/365)</f>
        <v>214.50298091048455</v>
      </c>
      <c r="F14" s="119">
        <f ca="1">E14</f>
        <v>214.50298091048455</v>
      </c>
      <c r="G14" s="145"/>
      <c r="H14" s="145">
        <f ca="1">(H10*45/30+H11*45/30+'F1'!J16*45/365)</f>
        <v>192.94591570890407</v>
      </c>
      <c r="I14" s="145"/>
      <c r="J14" s="145">
        <f ca="1">(J10*45/30+J11*45/30+'F1'!L16*45/365)</f>
        <v>182.86550260273975</v>
      </c>
      <c r="K14" s="169"/>
    </row>
    <row r="15" spans="2:12" x14ac:dyDescent="0.2">
      <c r="B15" s="20"/>
      <c r="C15" s="69" t="s">
        <v>287</v>
      </c>
      <c r="D15" s="70"/>
      <c r="E15" s="29"/>
      <c r="F15" s="3"/>
      <c r="G15" s="29"/>
      <c r="H15" s="29"/>
      <c r="I15" s="29"/>
      <c r="J15" s="29"/>
    </row>
    <row r="16" spans="2:12" x14ac:dyDescent="0.2">
      <c r="B16" s="20">
        <f>B14+1</f>
        <v>7</v>
      </c>
      <c r="C16" s="27" t="s">
        <v>398</v>
      </c>
      <c r="D16" s="119"/>
      <c r="E16" s="119">
        <f>E10+E11</f>
        <v>107.27404206817691</v>
      </c>
      <c r="F16" s="119">
        <f>E16</f>
        <v>107.27404206817691</v>
      </c>
      <c r="G16" s="119"/>
      <c r="H16" s="119">
        <f>H10+H11</f>
        <v>92.170336500000005</v>
      </c>
      <c r="I16" s="119"/>
      <c r="J16" s="119">
        <f>J10+J11</f>
        <v>84.661020000000008</v>
      </c>
      <c r="L16" s="169"/>
    </row>
    <row r="17" spans="2:10" ht="15" x14ac:dyDescent="0.2">
      <c r="B17" s="20">
        <f t="shared" si="0"/>
        <v>8</v>
      </c>
      <c r="C17" s="27" t="s">
        <v>55</v>
      </c>
      <c r="D17" s="117">
        <f>SUM(D9:D14)-D16</f>
        <v>0</v>
      </c>
      <c r="E17" s="117">
        <f t="shared" ref="E17:J17" ca="1" si="1">SUM(E9:E14)-E16</f>
        <v>330.52049194321506</v>
      </c>
      <c r="F17" s="117">
        <f t="shared" ca="1" si="1"/>
        <v>330.52049194321506</v>
      </c>
      <c r="G17" s="117">
        <f t="shared" si="1"/>
        <v>0</v>
      </c>
      <c r="H17" s="117">
        <f t="shared" ca="1" si="1"/>
        <v>299.76442504223741</v>
      </c>
      <c r="I17" s="117">
        <f t="shared" si="1"/>
        <v>0</v>
      </c>
      <c r="J17" s="117">
        <f t="shared" ca="1" si="1"/>
        <v>285.62484293607304</v>
      </c>
    </row>
    <row r="18" spans="2:10" x14ac:dyDescent="0.2">
      <c r="B18" s="20">
        <f t="shared" si="0"/>
        <v>9</v>
      </c>
      <c r="C18" s="27" t="s">
        <v>288</v>
      </c>
      <c r="D18" s="118"/>
      <c r="E18" s="118">
        <v>0.1041</v>
      </c>
      <c r="F18" s="118">
        <f>E18</f>
        <v>0.1041</v>
      </c>
      <c r="G18" s="118">
        <v>0.1008</v>
      </c>
      <c r="H18" s="118">
        <v>0.10249999999999999</v>
      </c>
      <c r="I18" s="118"/>
      <c r="J18" s="118">
        <v>0.10249999999999999</v>
      </c>
    </row>
    <row r="19" spans="2:10" ht="15" x14ac:dyDescent="0.2">
      <c r="B19" s="20">
        <f t="shared" si="0"/>
        <v>10</v>
      </c>
      <c r="C19" s="69" t="s">
        <v>289</v>
      </c>
      <c r="D19" s="117">
        <v>30.45</v>
      </c>
      <c r="E19" s="117">
        <f ca="1">ROUND(E17*E18,2)</f>
        <v>34.409999999999997</v>
      </c>
      <c r="F19" s="117">
        <f ca="1">ROUND(F17*F18,2)</f>
        <v>34.409999999999997</v>
      </c>
      <c r="G19" s="117">
        <v>31.17</v>
      </c>
      <c r="H19" s="117">
        <f ca="1">ROUND(H17*H18,2)</f>
        <v>30.73</v>
      </c>
      <c r="I19" s="117">
        <v>31.38</v>
      </c>
      <c r="J19" s="117">
        <f ca="1">ROUND(J17*J18,2)</f>
        <v>29.28</v>
      </c>
    </row>
    <row r="20" spans="2:10" x14ac:dyDescent="0.2">
      <c r="C20" s="5" t="s">
        <v>242</v>
      </c>
    </row>
    <row r="21" spans="2:10" x14ac:dyDescent="0.2">
      <c r="C21" s="5" t="s">
        <v>399</v>
      </c>
    </row>
  </sheetData>
  <mergeCells count="5">
    <mergeCell ref="G6:H6"/>
    <mergeCell ref="I6:J6"/>
    <mergeCell ref="B6:B8"/>
    <mergeCell ref="C6:C8"/>
    <mergeCell ref="D6:F6"/>
  </mergeCells>
  <pageMargins left="0.27" right="0.25" top="1" bottom="1" header="0.25" footer="0.25"/>
  <pageSetup paperSize="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23"/>
  <sheetViews>
    <sheetView showGridLines="0" zoomScale="96" zoomScaleNormal="96" zoomScaleSheetLayoutView="90" zoomScalePageLayoutView="84" workbookViewId="0">
      <selection activeCell="J21" sqref="J21"/>
    </sheetView>
  </sheetViews>
  <sheetFormatPr defaultColWidth="9.28515625" defaultRowHeight="14.25" x14ac:dyDescent="0.2"/>
  <cols>
    <col min="1" max="1" width="3.28515625" style="5" customWidth="1"/>
    <col min="2" max="2" width="6.28515625" style="5" customWidth="1"/>
    <col min="3" max="3" width="60.28515625" style="5" customWidth="1"/>
    <col min="4" max="4" width="12.42578125" style="5" customWidth="1"/>
    <col min="5" max="5" width="11" style="5" customWidth="1"/>
    <col min="6" max="6" width="13.42578125" style="5" bestFit="1" customWidth="1"/>
    <col min="7" max="9" width="12.140625" style="5" customWidth="1"/>
    <col min="10" max="10" width="11.28515625" style="5" customWidth="1"/>
    <col min="11" max="13" width="11.7109375" style="5" bestFit="1" customWidth="1"/>
    <col min="14" max="16384" width="9.28515625" style="5"/>
  </cols>
  <sheetData>
    <row r="1" spans="2:10" ht="15" x14ac:dyDescent="0.2">
      <c r="B1" s="24"/>
    </row>
    <row r="2" spans="2:10" ht="15" x14ac:dyDescent="0.2">
      <c r="D2" s="32" t="s">
        <v>403</v>
      </c>
    </row>
    <row r="3" spans="2:10" ht="15" x14ac:dyDescent="0.2">
      <c r="D3" s="32" t="s">
        <v>468</v>
      </c>
    </row>
    <row r="4" spans="2:10" ht="15" x14ac:dyDescent="0.2">
      <c r="D4" s="35" t="s">
        <v>290</v>
      </c>
    </row>
    <row r="5" spans="2:10" ht="15" x14ac:dyDescent="0.2">
      <c r="J5" s="26" t="s">
        <v>4</v>
      </c>
    </row>
    <row r="6" spans="2:10" s="13" customFormat="1" ht="15" customHeight="1" x14ac:dyDescent="0.2">
      <c r="B6" s="273" t="s">
        <v>193</v>
      </c>
      <c r="C6" s="276" t="s">
        <v>18</v>
      </c>
      <c r="D6" s="280" t="s">
        <v>405</v>
      </c>
      <c r="E6" s="281"/>
      <c r="F6" s="282"/>
      <c r="G6" s="280" t="s">
        <v>406</v>
      </c>
      <c r="H6" s="282"/>
      <c r="I6" s="280" t="s">
        <v>467</v>
      </c>
      <c r="J6" s="282"/>
    </row>
    <row r="7" spans="2:10" s="13" customFormat="1" ht="45" x14ac:dyDescent="0.2">
      <c r="B7" s="274"/>
      <c r="C7" s="276"/>
      <c r="D7" s="15" t="s">
        <v>370</v>
      </c>
      <c r="E7" s="15" t="s">
        <v>240</v>
      </c>
      <c r="F7" s="15" t="s">
        <v>208</v>
      </c>
      <c r="G7" s="15" t="s">
        <v>370</v>
      </c>
      <c r="H7" s="15" t="s">
        <v>239</v>
      </c>
      <c r="I7" s="15" t="s">
        <v>370</v>
      </c>
      <c r="J7" s="15" t="s">
        <v>239</v>
      </c>
    </row>
    <row r="8" spans="2:10" s="13" customFormat="1" ht="30" x14ac:dyDescent="0.2">
      <c r="B8" s="275"/>
      <c r="C8" s="277"/>
      <c r="D8" s="15" t="s">
        <v>10</v>
      </c>
      <c r="E8" s="15" t="s">
        <v>12</v>
      </c>
      <c r="F8" s="15" t="s">
        <v>231</v>
      </c>
      <c r="G8" s="15" t="s">
        <v>10</v>
      </c>
      <c r="H8" s="15" t="s">
        <v>463</v>
      </c>
      <c r="I8" s="15" t="s">
        <v>10</v>
      </c>
      <c r="J8" s="15" t="s">
        <v>463</v>
      </c>
    </row>
    <row r="9" spans="2:10" x14ac:dyDescent="0.2">
      <c r="B9" s="62">
        <v>1</v>
      </c>
      <c r="C9" s="27" t="s">
        <v>224</v>
      </c>
      <c r="D9" s="129"/>
      <c r="E9" s="127">
        <f>'F4'!F22*30%</f>
        <v>764.69099999999992</v>
      </c>
      <c r="F9" s="127">
        <f>E9</f>
        <v>764.69099999999992</v>
      </c>
      <c r="G9" s="131"/>
      <c r="H9" s="132">
        <f>E13</f>
        <v>764.75599999999997</v>
      </c>
      <c r="I9" s="131"/>
      <c r="J9" s="132">
        <f>H13</f>
        <v>766.83600000000001</v>
      </c>
    </row>
    <row r="10" spans="2:10" x14ac:dyDescent="0.2">
      <c r="B10" s="20">
        <f>B9+1</f>
        <v>2</v>
      </c>
      <c r="C10" s="27" t="s">
        <v>225</v>
      </c>
      <c r="D10" s="129"/>
      <c r="E10" s="127">
        <f>'F3'!E12</f>
        <v>0.26</v>
      </c>
      <c r="F10" s="127">
        <f>'F3'!F12</f>
        <v>0.26</v>
      </c>
      <c r="G10" s="127">
        <f>'F3'!G12</f>
        <v>0</v>
      </c>
      <c r="H10" s="127">
        <f>'F3'!H12</f>
        <v>8.32</v>
      </c>
      <c r="I10" s="127">
        <f>'F3'!I12</f>
        <v>0</v>
      </c>
      <c r="J10" s="127">
        <f>'F3'!J12</f>
        <v>0</v>
      </c>
    </row>
    <row r="11" spans="2:10" x14ac:dyDescent="0.2">
      <c r="B11" s="20">
        <f t="shared" ref="B11:B21" si="0">B10+1</f>
        <v>3</v>
      </c>
      <c r="C11" s="29" t="s">
        <v>19</v>
      </c>
      <c r="D11" s="130">
        <f>D10*25%</f>
        <v>0</v>
      </c>
      <c r="E11" s="130">
        <f>E10*25%</f>
        <v>6.5000000000000002E-2</v>
      </c>
      <c r="F11" s="130">
        <f t="shared" ref="F11:J11" si="1">F10*25%</f>
        <v>6.5000000000000002E-2</v>
      </c>
      <c r="G11" s="130">
        <f t="shared" si="1"/>
        <v>0</v>
      </c>
      <c r="H11" s="130">
        <f t="shared" si="1"/>
        <v>2.08</v>
      </c>
      <c r="I11" s="130">
        <f t="shared" si="1"/>
        <v>0</v>
      </c>
      <c r="J11" s="130">
        <f t="shared" si="1"/>
        <v>0</v>
      </c>
    </row>
    <row r="12" spans="2:10" ht="28.5" x14ac:dyDescent="0.2">
      <c r="B12" s="20">
        <f t="shared" si="0"/>
        <v>4</v>
      </c>
      <c r="C12" s="69" t="s">
        <v>20</v>
      </c>
      <c r="D12" s="133"/>
      <c r="E12" s="40"/>
      <c r="F12" s="129"/>
      <c r="G12" s="40"/>
      <c r="H12" s="40"/>
      <c r="I12" s="40"/>
      <c r="J12" s="40"/>
    </row>
    <row r="13" spans="2:10" s="32" customFormat="1" ht="15" x14ac:dyDescent="0.2">
      <c r="B13" s="20">
        <f t="shared" si="0"/>
        <v>5</v>
      </c>
      <c r="C13" s="37" t="s">
        <v>21</v>
      </c>
      <c r="D13" s="134">
        <f>D9+D11-D12</f>
        <v>0</v>
      </c>
      <c r="E13" s="134">
        <f t="shared" ref="E13:J13" si="2">E9+E11-E12</f>
        <v>764.75599999999997</v>
      </c>
      <c r="F13" s="134">
        <f>F9+F11-F12</f>
        <v>764.75599999999997</v>
      </c>
      <c r="G13" s="134">
        <f t="shared" si="2"/>
        <v>0</v>
      </c>
      <c r="H13" s="134">
        <f t="shared" si="2"/>
        <v>766.83600000000001</v>
      </c>
      <c r="I13" s="134"/>
      <c r="J13" s="134">
        <f t="shared" si="2"/>
        <v>766.83600000000001</v>
      </c>
    </row>
    <row r="14" spans="2:10" s="32" customFormat="1" ht="15" x14ac:dyDescent="0.2">
      <c r="B14" s="20"/>
      <c r="C14" s="71" t="s">
        <v>291</v>
      </c>
      <c r="D14" s="70"/>
      <c r="E14" s="29"/>
      <c r="F14" s="3"/>
      <c r="G14" s="29"/>
      <c r="H14" s="29"/>
      <c r="I14" s="29"/>
      <c r="J14" s="29"/>
    </row>
    <row r="15" spans="2:10" s="32" customFormat="1" ht="15" x14ac:dyDescent="0.2">
      <c r="B15" s="20">
        <f>B13+1</f>
        <v>6</v>
      </c>
      <c r="C15" s="37" t="s">
        <v>292</v>
      </c>
      <c r="D15" s="175">
        <v>0.115</v>
      </c>
      <c r="E15" s="175">
        <v>0.155</v>
      </c>
      <c r="F15" s="175">
        <v>0.155</v>
      </c>
      <c r="G15" s="175">
        <v>0.115</v>
      </c>
      <c r="H15" s="175">
        <v>0.155</v>
      </c>
      <c r="I15" s="175">
        <v>0.155</v>
      </c>
      <c r="J15" s="175">
        <v>0.155</v>
      </c>
    </row>
    <row r="16" spans="2:10" s="32" customFormat="1" ht="15" x14ac:dyDescent="0.2">
      <c r="B16" s="20">
        <f>B15+1</f>
        <v>7</v>
      </c>
      <c r="C16" s="37" t="s">
        <v>293</v>
      </c>
      <c r="D16" s="176">
        <v>0.25168000000000001</v>
      </c>
      <c r="E16" s="176">
        <v>0.25168000000000001</v>
      </c>
      <c r="F16" s="176">
        <v>0.25168000000000001</v>
      </c>
      <c r="G16" s="176">
        <v>0.25168000000000001</v>
      </c>
      <c r="H16" s="176">
        <v>0.25168000000000001</v>
      </c>
      <c r="I16" s="176">
        <v>0.25168000000000001</v>
      </c>
      <c r="J16" s="176">
        <v>0.25168000000000001</v>
      </c>
    </row>
    <row r="17" spans="2:10" s="32" customFormat="1" ht="15" x14ac:dyDescent="0.2">
      <c r="B17" s="20">
        <f>B16+1</f>
        <v>8</v>
      </c>
      <c r="C17" s="30" t="s">
        <v>291</v>
      </c>
      <c r="D17" s="177">
        <f>D15/(1-D16)</f>
        <v>0.15367757109258073</v>
      </c>
      <c r="E17" s="177">
        <f t="shared" ref="E17:J17" si="3">E15/(1-E16)</f>
        <v>0.20713063929869574</v>
      </c>
      <c r="F17" s="177">
        <f t="shared" si="3"/>
        <v>0.20713063929869574</v>
      </c>
      <c r="G17" s="177">
        <f t="shared" si="3"/>
        <v>0.15367757109258073</v>
      </c>
      <c r="H17" s="177">
        <f t="shared" si="3"/>
        <v>0.20713063929869574</v>
      </c>
      <c r="I17" s="177">
        <f t="shared" si="3"/>
        <v>0.20713063929869574</v>
      </c>
      <c r="J17" s="177">
        <f t="shared" si="3"/>
        <v>0.20713063929869574</v>
      </c>
    </row>
    <row r="18" spans="2:10" ht="15" x14ac:dyDescent="0.2">
      <c r="B18" s="20"/>
      <c r="C18" s="71" t="s">
        <v>182</v>
      </c>
      <c r="D18" s="116"/>
      <c r="E18" s="29"/>
      <c r="F18" s="3"/>
      <c r="G18" s="29"/>
      <c r="H18" s="29"/>
      <c r="I18" s="29"/>
      <c r="J18" s="29"/>
    </row>
    <row r="19" spans="2:10" ht="17.25" customHeight="1" x14ac:dyDescent="0.2">
      <c r="B19" s="20">
        <f>B17+1</f>
        <v>9</v>
      </c>
      <c r="C19" s="69" t="s">
        <v>226</v>
      </c>
      <c r="D19" s="117">
        <f>D9*D17</f>
        <v>0</v>
      </c>
      <c r="E19" s="117">
        <f t="shared" ref="E19:J19" si="4">E9*E17</f>
        <v>158.39093569595892</v>
      </c>
      <c r="F19" s="117">
        <f t="shared" si="4"/>
        <v>158.39093569595892</v>
      </c>
      <c r="G19" s="117">
        <f t="shared" si="4"/>
        <v>0</v>
      </c>
      <c r="H19" s="117">
        <f t="shared" si="4"/>
        <v>158.40439918751335</v>
      </c>
      <c r="I19" s="117"/>
      <c r="J19" s="117">
        <f t="shared" si="4"/>
        <v>158.83523091725465</v>
      </c>
    </row>
    <row r="20" spans="2:10" ht="18.75" customHeight="1" x14ac:dyDescent="0.2">
      <c r="B20" s="20">
        <f t="shared" si="0"/>
        <v>10</v>
      </c>
      <c r="C20" s="69" t="s">
        <v>227</v>
      </c>
      <c r="D20" s="117">
        <f>AVERAGE(D9,D13)*D17-D19</f>
        <v>0</v>
      </c>
      <c r="E20" s="117">
        <f t="shared" ref="E20:J20" si="5">AVERAGE(E9,E13)*E17-E19</f>
        <v>6.731745777216247E-3</v>
      </c>
      <c r="F20" s="117">
        <f t="shared" si="5"/>
        <v>6.731745777216247E-3</v>
      </c>
      <c r="G20" s="117">
        <f t="shared" si="5"/>
        <v>0</v>
      </c>
      <c r="H20" s="117">
        <f t="shared" si="5"/>
        <v>0.21541586487066411</v>
      </c>
      <c r="I20" s="117"/>
      <c r="J20" s="117">
        <f t="shared" si="5"/>
        <v>0</v>
      </c>
    </row>
    <row r="21" spans="2:10" ht="15" x14ac:dyDescent="0.2">
      <c r="B21" s="20">
        <f t="shared" si="0"/>
        <v>11</v>
      </c>
      <c r="C21" s="39" t="s">
        <v>183</v>
      </c>
      <c r="D21" s="117">
        <v>117.51</v>
      </c>
      <c r="E21" s="117">
        <f>ROUND((E19+E20),2)</f>
        <v>158.4</v>
      </c>
      <c r="F21" s="117">
        <f>ROUND((F19+F20),2)</f>
        <v>158.4</v>
      </c>
      <c r="G21" s="117">
        <v>158.38</v>
      </c>
      <c r="H21" s="117">
        <f>ROUND((H19+H20),2)</f>
        <v>158.62</v>
      </c>
      <c r="I21" s="117">
        <v>158.38</v>
      </c>
      <c r="J21" s="117">
        <f>ROUND((J19+J20),2)</f>
        <v>158.84</v>
      </c>
    </row>
    <row r="22" spans="2:10" x14ac:dyDescent="0.2">
      <c r="C22" s="5" t="s">
        <v>242</v>
      </c>
    </row>
    <row r="23" spans="2:10" x14ac:dyDescent="0.2">
      <c r="C23" s="5" t="s">
        <v>401</v>
      </c>
    </row>
  </sheetData>
  <mergeCells count="5">
    <mergeCell ref="I6:J6"/>
    <mergeCell ref="B6:B8"/>
    <mergeCell ref="C6:C8"/>
    <mergeCell ref="D6:F6"/>
    <mergeCell ref="G6:H6"/>
  </mergeCells>
  <pageMargins left="1.02" right="0.25" top="1" bottom="1" header="0.25" footer="0.25"/>
  <pageSetup paperSize="9" scale="8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29"/>
  <sheetViews>
    <sheetView showGridLines="0" view="pageBreakPreview" zoomScale="90" zoomScaleNormal="112" zoomScaleSheetLayoutView="90" workbookViewId="0">
      <selection activeCell="G31" sqref="G31"/>
    </sheetView>
  </sheetViews>
  <sheetFormatPr defaultColWidth="9.28515625" defaultRowHeight="14.25" x14ac:dyDescent="0.2"/>
  <cols>
    <col min="1" max="1" width="2.7109375" style="5" customWidth="1"/>
    <col min="2" max="2" width="6.28515625" style="5" customWidth="1"/>
    <col min="3" max="3" width="50.42578125" style="5" customWidth="1"/>
    <col min="4" max="5" width="11.28515625" style="5" customWidth="1"/>
    <col min="6" max="6" width="13.7109375" style="5" customWidth="1"/>
    <col min="7" max="10" width="11.28515625" style="5" customWidth="1"/>
    <col min="11" max="13" width="11.7109375" style="5" bestFit="1" customWidth="1"/>
    <col min="14" max="16384" width="9.28515625" style="5"/>
  </cols>
  <sheetData>
    <row r="2" spans="2:10" ht="15" x14ac:dyDescent="0.2">
      <c r="E2" s="32" t="s">
        <v>403</v>
      </c>
    </row>
    <row r="3" spans="2:10" ht="15" x14ac:dyDescent="0.2">
      <c r="E3" s="32" t="s">
        <v>468</v>
      </c>
    </row>
    <row r="4" spans="2:10" ht="15" x14ac:dyDescent="0.2">
      <c r="B4" s="33"/>
      <c r="C4" s="24"/>
      <c r="D4" s="25"/>
      <c r="E4" s="35" t="s">
        <v>294</v>
      </c>
      <c r="F4" s="25"/>
      <c r="G4" s="25"/>
      <c r="H4" s="25"/>
      <c r="I4" s="25"/>
      <c r="J4" s="25"/>
    </row>
    <row r="5" spans="2:10" ht="15" x14ac:dyDescent="0.2">
      <c r="J5" s="26" t="s">
        <v>4</v>
      </c>
    </row>
    <row r="6" spans="2:10" s="13" customFormat="1" ht="15" customHeight="1" x14ac:dyDescent="0.2">
      <c r="B6" s="273" t="s">
        <v>193</v>
      </c>
      <c r="C6" s="276" t="s">
        <v>18</v>
      </c>
      <c r="D6" s="280" t="s">
        <v>405</v>
      </c>
      <c r="E6" s="281"/>
      <c r="F6" s="282"/>
      <c r="G6" s="280" t="s">
        <v>406</v>
      </c>
      <c r="H6" s="282"/>
      <c r="I6" s="280" t="s">
        <v>467</v>
      </c>
      <c r="J6" s="282"/>
    </row>
    <row r="7" spans="2:10" s="13" customFormat="1" ht="30" x14ac:dyDescent="0.2">
      <c r="B7" s="274"/>
      <c r="C7" s="276"/>
      <c r="D7" s="15" t="s">
        <v>370</v>
      </c>
      <c r="E7" s="15" t="s">
        <v>240</v>
      </c>
      <c r="F7" s="15" t="s">
        <v>208</v>
      </c>
      <c r="G7" s="15" t="s">
        <v>370</v>
      </c>
      <c r="H7" s="15" t="s">
        <v>239</v>
      </c>
      <c r="I7" s="15" t="s">
        <v>370</v>
      </c>
      <c r="J7" s="15" t="s">
        <v>229</v>
      </c>
    </row>
    <row r="8" spans="2:10" s="13" customFormat="1" ht="15" x14ac:dyDescent="0.2">
      <c r="B8" s="275"/>
      <c r="C8" s="277"/>
      <c r="D8" s="15" t="s">
        <v>10</v>
      </c>
      <c r="E8" s="15" t="s">
        <v>12</v>
      </c>
      <c r="F8" s="15" t="s">
        <v>231</v>
      </c>
      <c r="G8" s="15" t="s">
        <v>10</v>
      </c>
      <c r="H8" s="15" t="s">
        <v>5</v>
      </c>
      <c r="I8" s="15" t="s">
        <v>10</v>
      </c>
      <c r="J8" s="15" t="s">
        <v>8</v>
      </c>
    </row>
    <row r="9" spans="2:10" s="13" customFormat="1" ht="15" x14ac:dyDescent="0.2">
      <c r="B9" s="62">
        <v>1</v>
      </c>
      <c r="C9" s="181" t="s">
        <v>418</v>
      </c>
      <c r="D9" s="155"/>
      <c r="E9" s="156">
        <v>0.10299371880436418</v>
      </c>
      <c r="F9" s="156">
        <v>0.10299371880436418</v>
      </c>
      <c r="G9" s="15"/>
      <c r="H9" s="183">
        <v>0.10711346755653875</v>
      </c>
      <c r="I9" s="15"/>
      <c r="J9" s="183">
        <v>0.11139800625880031</v>
      </c>
    </row>
    <row r="10" spans="2:10" s="13" customFormat="1" ht="15" x14ac:dyDescent="0.2">
      <c r="B10" s="62">
        <f>B9+1</f>
        <v>2</v>
      </c>
      <c r="C10" s="181" t="s">
        <v>417</v>
      </c>
      <c r="D10" s="155"/>
      <c r="E10" s="156">
        <v>1.8325387108612454E-4</v>
      </c>
      <c r="F10" s="156">
        <v>1.8325387108612454E-4</v>
      </c>
      <c r="G10" s="15"/>
      <c r="H10" s="183">
        <v>2.5279154112556784E-4</v>
      </c>
      <c r="I10" s="15"/>
      <c r="J10" s="183">
        <v>2.6290320277059056E-4</v>
      </c>
    </row>
    <row r="11" spans="2:10" s="13" customFormat="1" ht="15" x14ac:dyDescent="0.2">
      <c r="B11" s="62">
        <f>B10+1</f>
        <v>3</v>
      </c>
      <c r="C11" s="181" t="s">
        <v>416</v>
      </c>
      <c r="D11" s="155"/>
      <c r="E11" s="156">
        <v>4.7440346321141393E-2</v>
      </c>
      <c r="F11" s="156">
        <v>4.7440346321141393E-2</v>
      </c>
      <c r="G11" s="15"/>
      <c r="H11" s="183">
        <v>4.9337960173987054E-2</v>
      </c>
      <c r="I11" s="15"/>
      <c r="J11" s="183">
        <v>5.1311478580946535E-2</v>
      </c>
    </row>
    <row r="12" spans="2:10" s="13" customFormat="1" ht="15" x14ac:dyDescent="0.2">
      <c r="B12" s="182">
        <f t="shared" ref="B12:B27" si="0">B11+1</f>
        <v>4</v>
      </c>
      <c r="C12" s="181" t="s">
        <v>429</v>
      </c>
      <c r="D12" s="155"/>
      <c r="E12" s="156">
        <v>2.2710173681818184</v>
      </c>
      <c r="F12" s="156">
        <v>2.2710173681818184</v>
      </c>
      <c r="G12" s="15"/>
      <c r="H12" s="183">
        <v>2.3618580629090911</v>
      </c>
      <c r="I12" s="15"/>
      <c r="J12" s="183">
        <v>2.4563323854254548</v>
      </c>
    </row>
    <row r="13" spans="2:10" s="13" customFormat="1" ht="15" x14ac:dyDescent="0.2">
      <c r="B13" s="182">
        <f t="shared" si="0"/>
        <v>5</v>
      </c>
      <c r="C13" s="181" t="s">
        <v>426</v>
      </c>
      <c r="D13" s="156"/>
      <c r="E13" s="156">
        <v>1.9365671196612852E-2</v>
      </c>
      <c r="F13" s="156">
        <v>1.9365671196612852E-2</v>
      </c>
      <c r="G13" s="15"/>
      <c r="H13" s="183">
        <v>2.0140298044477367E-2</v>
      </c>
      <c r="I13" s="15"/>
      <c r="J13" s="183">
        <v>2.0945909966256462E-2</v>
      </c>
    </row>
    <row r="14" spans="2:10" s="13" customFormat="1" ht="15" x14ac:dyDescent="0.2">
      <c r="B14" s="182">
        <f t="shared" si="0"/>
        <v>6</v>
      </c>
      <c r="C14" s="181" t="s">
        <v>412</v>
      </c>
      <c r="D14" s="156"/>
      <c r="E14" s="156">
        <v>0.15172149526675741</v>
      </c>
      <c r="F14" s="156">
        <v>0.15172149526675741</v>
      </c>
      <c r="G14" s="15"/>
      <c r="H14" s="183">
        <v>0.1577903550774277</v>
      </c>
      <c r="I14" s="15"/>
      <c r="J14" s="183">
        <v>0.16410196928052481</v>
      </c>
    </row>
    <row r="15" spans="2:10" s="13" customFormat="1" ht="15" x14ac:dyDescent="0.2">
      <c r="B15" s="182">
        <f t="shared" si="0"/>
        <v>7</v>
      </c>
      <c r="C15" s="181" t="s">
        <v>425</v>
      </c>
      <c r="D15" s="156"/>
      <c r="E15" s="156">
        <v>4.7184999999999998E-2</v>
      </c>
      <c r="F15" s="156">
        <v>4.7184999999999998E-2</v>
      </c>
      <c r="G15" s="15"/>
      <c r="H15" s="183">
        <v>4.9072400000000002E-2</v>
      </c>
      <c r="I15" s="15"/>
      <c r="J15" s="183">
        <v>5.1035296000000001E-2</v>
      </c>
    </row>
    <row r="16" spans="2:10" s="13" customFormat="1" ht="15" x14ac:dyDescent="0.2">
      <c r="B16" s="182">
        <f t="shared" si="0"/>
        <v>8</v>
      </c>
      <c r="C16" s="181" t="s">
        <v>420</v>
      </c>
      <c r="D16" s="156"/>
      <c r="E16" s="156">
        <v>0.15276412973419723</v>
      </c>
      <c r="F16" s="156">
        <v>0.15276412973419723</v>
      </c>
      <c r="G16" s="15"/>
      <c r="H16" s="183">
        <v>0.15887469492356512</v>
      </c>
      <c r="I16" s="15"/>
      <c r="J16" s="183">
        <v>0.16522968272050773</v>
      </c>
    </row>
    <row r="17" spans="2:10" s="13" customFormat="1" ht="15" x14ac:dyDescent="0.2">
      <c r="B17" s="182">
        <f t="shared" si="0"/>
        <v>9</v>
      </c>
      <c r="C17" s="181" t="s">
        <v>413</v>
      </c>
      <c r="D17" s="156"/>
      <c r="E17" s="156">
        <v>6.317618552504638</v>
      </c>
      <c r="F17" s="156">
        <v>6.317618552504638</v>
      </c>
      <c r="G17" s="15"/>
      <c r="H17" s="183">
        <v>6.5703232946048233</v>
      </c>
      <c r="I17" s="15"/>
      <c r="J17" s="183">
        <v>6.8331362263890165</v>
      </c>
    </row>
    <row r="18" spans="2:10" s="13" customFormat="1" ht="15" x14ac:dyDescent="0.2">
      <c r="B18" s="182">
        <f t="shared" si="0"/>
        <v>10</v>
      </c>
      <c r="C18" s="181" t="s">
        <v>480</v>
      </c>
      <c r="D18" s="156"/>
      <c r="E18" s="156">
        <v>0</v>
      </c>
      <c r="F18" s="156">
        <v>0</v>
      </c>
      <c r="G18" s="15"/>
      <c r="H18" s="183">
        <v>0</v>
      </c>
      <c r="I18" s="15"/>
      <c r="J18" s="183">
        <v>0</v>
      </c>
    </row>
    <row r="19" spans="2:10" s="13" customFormat="1" ht="15" x14ac:dyDescent="0.2">
      <c r="B19" s="182">
        <f t="shared" si="0"/>
        <v>11</v>
      </c>
      <c r="C19" s="181" t="s">
        <v>415</v>
      </c>
      <c r="D19" s="156"/>
      <c r="E19" s="156">
        <v>0.22725989681818182</v>
      </c>
      <c r="F19" s="156">
        <v>0.22725989681818182</v>
      </c>
      <c r="G19" s="15"/>
      <c r="H19" s="183">
        <v>0.2363502926909091</v>
      </c>
      <c r="I19" s="15"/>
      <c r="J19" s="183">
        <v>0.24580430439854548</v>
      </c>
    </row>
    <row r="20" spans="2:10" s="13" customFormat="1" ht="15" x14ac:dyDescent="0.2">
      <c r="B20" s="182">
        <f t="shared" si="0"/>
        <v>12</v>
      </c>
      <c r="C20" s="181" t="s">
        <v>414</v>
      </c>
      <c r="D20" s="156"/>
      <c r="E20" s="156">
        <v>0.40112593818181824</v>
      </c>
      <c r="F20" s="156">
        <v>0.40112593818181824</v>
      </c>
      <c r="G20" s="15"/>
      <c r="H20" s="183">
        <v>0.41717097570909095</v>
      </c>
      <c r="I20" s="15"/>
      <c r="J20" s="183">
        <v>0.43385781473745461</v>
      </c>
    </row>
    <row r="21" spans="2:10" x14ac:dyDescent="0.2">
      <c r="B21" s="182">
        <f t="shared" si="0"/>
        <v>13</v>
      </c>
      <c r="C21" s="181" t="s">
        <v>419</v>
      </c>
      <c r="D21" s="156"/>
      <c r="E21" s="156">
        <v>1.62676361472015E-3</v>
      </c>
      <c r="F21" s="156">
        <v>1.62676361472015E-3</v>
      </c>
      <c r="G21" s="21"/>
      <c r="H21" s="132">
        <v>1.6918341593089561E-3</v>
      </c>
      <c r="I21" s="21"/>
      <c r="J21" s="132">
        <v>1.7595075256813144E-3</v>
      </c>
    </row>
    <row r="22" spans="2:10" x14ac:dyDescent="0.2">
      <c r="B22" s="182">
        <f t="shared" si="0"/>
        <v>14</v>
      </c>
      <c r="C22" s="181" t="s">
        <v>423</v>
      </c>
      <c r="D22" s="156"/>
      <c r="E22" s="156">
        <v>3.0923117962888151E-2</v>
      </c>
      <c r="F22" s="156">
        <v>3.0923117962888151E-2</v>
      </c>
      <c r="G22" s="21"/>
      <c r="H22" s="132">
        <v>3.2160042681403683E-2</v>
      </c>
      <c r="I22" s="21"/>
      <c r="J22" s="132">
        <v>3.3446444388659832E-2</v>
      </c>
    </row>
    <row r="23" spans="2:10" x14ac:dyDescent="0.2">
      <c r="B23" s="182">
        <f t="shared" si="0"/>
        <v>15</v>
      </c>
      <c r="C23" s="181" t="s">
        <v>427</v>
      </c>
      <c r="D23" s="156"/>
      <c r="E23" s="156">
        <v>7.9119022509517384E-2</v>
      </c>
      <c r="F23" s="156">
        <v>7.9119022509517384E-2</v>
      </c>
      <c r="G23" s="21"/>
      <c r="H23" s="132">
        <v>8.2283783409898087E-2</v>
      </c>
      <c r="I23" s="21"/>
      <c r="J23" s="132">
        <v>8.557513474629401E-2</v>
      </c>
    </row>
    <row r="24" spans="2:10" x14ac:dyDescent="0.2">
      <c r="B24" s="182">
        <f t="shared" si="0"/>
        <v>16</v>
      </c>
      <c r="C24" s="181" t="s">
        <v>428</v>
      </c>
      <c r="D24" s="156"/>
      <c r="E24" s="156">
        <v>4.1063711151413853E-3</v>
      </c>
      <c r="F24" s="156">
        <v>4.1063711151413853E-3</v>
      </c>
      <c r="G24" s="21"/>
      <c r="H24" s="132">
        <v>4.2706259597470406E-3</v>
      </c>
      <c r="I24" s="21"/>
      <c r="J24" s="132">
        <v>4.4414509981369225E-3</v>
      </c>
    </row>
    <row r="25" spans="2:10" ht="15.75" customHeight="1" x14ac:dyDescent="0.2">
      <c r="B25" s="182">
        <f t="shared" si="0"/>
        <v>17</v>
      </c>
      <c r="C25" s="181" t="s">
        <v>424</v>
      </c>
      <c r="D25" s="157">
        <f>SUM(D9:D20)</f>
        <v>0</v>
      </c>
      <c r="E25" s="156">
        <v>4.5952426134108881E-2</v>
      </c>
      <c r="F25" s="156">
        <v>4.5952426134108881E-2</v>
      </c>
      <c r="G25" s="29"/>
      <c r="H25" s="127">
        <v>4.7790523179473243E-2</v>
      </c>
      <c r="I25" s="29"/>
      <c r="J25" s="127">
        <v>4.9702144106652177E-2</v>
      </c>
    </row>
    <row r="26" spans="2:10" s="32" customFormat="1" ht="15" x14ac:dyDescent="0.2">
      <c r="B26" s="182">
        <f t="shared" si="0"/>
        <v>18</v>
      </c>
      <c r="C26" s="181" t="s">
        <v>422</v>
      </c>
      <c r="D26" s="157"/>
      <c r="E26" s="156">
        <v>1.8457038380461651E-4</v>
      </c>
      <c r="F26" s="156">
        <v>1.8457038380461651E-4</v>
      </c>
      <c r="G26" s="29"/>
      <c r="H26" s="127">
        <v>1.2571749220568152E-2</v>
      </c>
      <c r="I26" s="29"/>
      <c r="J26" s="127">
        <v>1.3074619189390879E-2</v>
      </c>
    </row>
    <row r="27" spans="2:10" s="32" customFormat="1" ht="15" x14ac:dyDescent="0.2">
      <c r="B27" s="182">
        <f t="shared" si="0"/>
        <v>19</v>
      </c>
      <c r="C27" s="181" t="s">
        <v>421</v>
      </c>
      <c r="D27" s="157"/>
      <c r="E27" s="156">
        <v>4.1136363636363636E-3</v>
      </c>
      <c r="F27" s="156">
        <v>4.1136363636363636E-3</v>
      </c>
      <c r="G27" s="29"/>
      <c r="H27" s="127">
        <v>5.6676603637255173E-3</v>
      </c>
      <c r="I27" s="29"/>
      <c r="J27" s="127">
        <v>5.8943667782745384E-3</v>
      </c>
    </row>
    <row r="28" spans="2:10" x14ac:dyDescent="0.2">
      <c r="B28" s="20"/>
      <c r="C28" s="69"/>
      <c r="D28" s="70"/>
      <c r="E28" s="29"/>
      <c r="F28" s="29"/>
      <c r="G28" s="40"/>
      <c r="H28" s="40"/>
      <c r="I28" s="40"/>
      <c r="J28" s="40"/>
    </row>
    <row r="29" spans="2:10" ht="15" x14ac:dyDescent="0.2">
      <c r="B29" s="20"/>
      <c r="C29" s="31" t="s">
        <v>139</v>
      </c>
      <c r="D29" s="117">
        <v>28</v>
      </c>
      <c r="E29" s="117">
        <f>ROUND(SUM(E9:E27),2)</f>
        <v>9.9</v>
      </c>
      <c r="F29" s="117">
        <f>ROUND(SUM(F9:F27),2)</f>
        <v>9.9</v>
      </c>
      <c r="G29" s="117">
        <v>29.13</v>
      </c>
      <c r="H29" s="117">
        <f>ROUND(SUM(H9:H27),2)</f>
        <v>10.31</v>
      </c>
      <c r="I29" s="117">
        <v>30.29</v>
      </c>
      <c r="J29" s="117">
        <f>ROUND(SUM(J9:J27),2)</f>
        <v>10.73</v>
      </c>
    </row>
  </sheetData>
  <mergeCells count="5">
    <mergeCell ref="I6:J6"/>
    <mergeCell ref="B6:B8"/>
    <mergeCell ref="C6:C8"/>
    <mergeCell ref="D6:F6"/>
    <mergeCell ref="G6:H6"/>
  </mergeCells>
  <pageMargins left="0.27" right="0.25" top="0.25" bottom="1" header="0.25" footer="0.25"/>
  <pageSetup paperSize="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31"/>
  <sheetViews>
    <sheetView showGridLines="0" view="pageBreakPreview" zoomScaleNormal="93" zoomScaleSheetLayoutView="100" workbookViewId="0">
      <selection activeCell="B3" sqref="B3:F3"/>
    </sheetView>
  </sheetViews>
  <sheetFormatPr defaultColWidth="9.28515625" defaultRowHeight="14.25" x14ac:dyDescent="0.2"/>
  <cols>
    <col min="1" max="1" width="3.28515625" style="5" customWidth="1"/>
    <col min="2" max="2" width="8.28515625" style="5" customWidth="1"/>
    <col min="3" max="3" width="26.7109375" style="5" customWidth="1"/>
    <col min="4" max="4" width="15.7109375" style="5" customWidth="1"/>
    <col min="5" max="5" width="18" style="5" bestFit="1" customWidth="1"/>
    <col min="6" max="6" width="15.7109375" style="5" customWidth="1"/>
    <col min="7" max="16384" width="9.28515625" style="5"/>
  </cols>
  <sheetData>
    <row r="2" spans="2:6" ht="15" x14ac:dyDescent="0.2">
      <c r="B2" s="283" t="s">
        <v>403</v>
      </c>
      <c r="C2" s="283"/>
      <c r="D2" s="283"/>
      <c r="E2" s="283"/>
      <c r="F2" s="283"/>
    </row>
    <row r="3" spans="2:6" ht="15" x14ac:dyDescent="0.2">
      <c r="B3" s="283" t="s">
        <v>468</v>
      </c>
      <c r="C3" s="283"/>
      <c r="D3" s="283"/>
      <c r="E3" s="283"/>
      <c r="F3" s="283"/>
    </row>
    <row r="4" spans="2:6" ht="14.25" customHeight="1" x14ac:dyDescent="0.2">
      <c r="B4" s="283" t="s">
        <v>296</v>
      </c>
      <c r="C4" s="283"/>
      <c r="D4" s="283"/>
      <c r="E4" s="283"/>
      <c r="F4" s="283"/>
    </row>
    <row r="5" spans="2:6" ht="15" x14ac:dyDescent="0.2">
      <c r="B5" s="24"/>
      <c r="C5" s="73"/>
      <c r="D5" s="74"/>
    </row>
    <row r="6" spans="2:6" ht="15" customHeight="1" x14ac:dyDescent="0.2">
      <c r="B6" s="285" t="s">
        <v>2</v>
      </c>
      <c r="C6" s="290" t="s">
        <v>18</v>
      </c>
      <c r="D6" s="137" t="s">
        <v>405</v>
      </c>
      <c r="E6" s="23" t="s">
        <v>406</v>
      </c>
      <c r="F6" s="23" t="s">
        <v>467</v>
      </c>
    </row>
    <row r="7" spans="2:6" ht="15" x14ac:dyDescent="0.2">
      <c r="B7" s="285"/>
      <c r="C7" s="290"/>
      <c r="D7" s="15" t="s">
        <v>295</v>
      </c>
      <c r="E7" s="15" t="s">
        <v>239</v>
      </c>
      <c r="F7" s="15" t="s">
        <v>239</v>
      </c>
    </row>
    <row r="8" spans="2:6" ht="24.75" customHeight="1" x14ac:dyDescent="0.2">
      <c r="B8" s="309"/>
      <c r="C8" s="310"/>
      <c r="D8" s="15" t="s">
        <v>3</v>
      </c>
      <c r="E8" s="15" t="s">
        <v>5</v>
      </c>
      <c r="F8" s="15" t="s">
        <v>8</v>
      </c>
    </row>
    <row r="9" spans="2:6" ht="15" x14ac:dyDescent="0.2">
      <c r="B9" s="75">
        <v>1</v>
      </c>
      <c r="C9" s="76" t="s">
        <v>165</v>
      </c>
      <c r="D9" s="72"/>
      <c r="E9" s="72"/>
      <c r="F9" s="27"/>
    </row>
    <row r="10" spans="2:6" s="32" customFormat="1" ht="15" x14ac:dyDescent="0.2">
      <c r="B10" s="77" t="s">
        <v>57</v>
      </c>
      <c r="C10" s="39" t="s">
        <v>58</v>
      </c>
      <c r="D10" s="78"/>
      <c r="E10" s="39"/>
      <c r="F10" s="39"/>
    </row>
    <row r="11" spans="2:6" s="32" customFormat="1" ht="15" x14ac:dyDescent="0.2">
      <c r="B11" s="79"/>
      <c r="C11" s="29" t="s">
        <v>59</v>
      </c>
      <c r="D11" s="78"/>
      <c r="E11" s="39"/>
      <c r="F11" s="39"/>
    </row>
    <row r="12" spans="2:6" s="32" customFormat="1" ht="15" x14ac:dyDescent="0.2">
      <c r="B12" s="79"/>
      <c r="C12" s="29" t="s">
        <v>60</v>
      </c>
      <c r="D12" s="78"/>
      <c r="E12" s="39"/>
      <c r="F12" s="39"/>
    </row>
    <row r="13" spans="2:6" s="32" customFormat="1" ht="15" x14ac:dyDescent="0.2">
      <c r="B13" s="79"/>
      <c r="C13" s="29" t="s">
        <v>61</v>
      </c>
      <c r="D13" s="78" t="s">
        <v>464</v>
      </c>
      <c r="E13" s="39"/>
      <c r="F13" s="39"/>
    </row>
    <row r="14" spans="2:6" s="32" customFormat="1" ht="15" x14ac:dyDescent="0.2">
      <c r="B14" s="79"/>
      <c r="C14" s="80"/>
      <c r="D14" s="78"/>
      <c r="E14" s="39"/>
      <c r="F14" s="39"/>
    </row>
    <row r="15" spans="2:6" s="32" customFormat="1" ht="15" x14ac:dyDescent="0.2">
      <c r="B15" s="77" t="s">
        <v>62</v>
      </c>
      <c r="C15" s="81" t="s">
        <v>63</v>
      </c>
      <c r="D15" s="78"/>
      <c r="E15" s="39"/>
      <c r="F15" s="39"/>
    </row>
    <row r="16" spans="2:6" s="32" customFormat="1" ht="15" x14ac:dyDescent="0.2">
      <c r="B16" s="79"/>
      <c r="C16" s="29" t="s">
        <v>59</v>
      </c>
      <c r="D16" s="78"/>
      <c r="E16" s="39"/>
      <c r="F16" s="39"/>
    </row>
    <row r="17" spans="2:6" x14ac:dyDescent="0.2">
      <c r="B17" s="79"/>
      <c r="C17" s="29" t="s">
        <v>60</v>
      </c>
      <c r="D17" s="78"/>
      <c r="E17" s="27"/>
      <c r="F17" s="27"/>
    </row>
    <row r="18" spans="2:6" x14ac:dyDescent="0.2">
      <c r="B18" s="82"/>
      <c r="C18" s="29" t="s">
        <v>64</v>
      </c>
      <c r="D18" s="78"/>
      <c r="E18" s="27"/>
      <c r="F18" s="27"/>
    </row>
    <row r="19" spans="2:6" ht="15" x14ac:dyDescent="0.2">
      <c r="B19" s="82"/>
      <c r="C19" s="81"/>
      <c r="D19" s="78"/>
      <c r="E19" s="27"/>
      <c r="F19" s="27"/>
    </row>
    <row r="20" spans="2:6" ht="17.25" customHeight="1" x14ac:dyDescent="0.2">
      <c r="B20" s="77">
        <v>2</v>
      </c>
      <c r="C20" s="76" t="s">
        <v>166</v>
      </c>
      <c r="D20" s="78"/>
      <c r="E20" s="27"/>
      <c r="F20" s="27"/>
    </row>
    <row r="21" spans="2:6" ht="17.25" customHeight="1" x14ac:dyDescent="0.2">
      <c r="B21" s="77"/>
      <c r="C21" s="76" t="s">
        <v>65</v>
      </c>
      <c r="D21" s="78"/>
      <c r="E21" s="27"/>
      <c r="F21" s="27"/>
    </row>
    <row r="22" spans="2:6" ht="17.25" customHeight="1" x14ac:dyDescent="0.2">
      <c r="B22" s="77"/>
      <c r="C22" s="76" t="s">
        <v>65</v>
      </c>
      <c r="D22" s="78"/>
      <c r="E22" s="27"/>
      <c r="F22" s="27"/>
    </row>
    <row r="23" spans="2:6" ht="15" x14ac:dyDescent="0.2">
      <c r="B23" s="79"/>
      <c r="C23" s="81" t="s">
        <v>66</v>
      </c>
      <c r="D23" s="78"/>
      <c r="E23" s="27"/>
      <c r="F23" s="27"/>
    </row>
    <row r="25" spans="2:6" ht="15" x14ac:dyDescent="0.2">
      <c r="B25" s="83" t="s">
        <v>54</v>
      </c>
      <c r="C25" s="84"/>
      <c r="D25" s="84"/>
      <c r="E25" s="84"/>
    </row>
    <row r="26" spans="2:6" x14ac:dyDescent="0.2">
      <c r="B26" s="5" t="s">
        <v>210</v>
      </c>
      <c r="D26" s="85"/>
      <c r="E26" s="84"/>
    </row>
    <row r="27" spans="2:6" ht="18" customHeight="1" x14ac:dyDescent="0.2">
      <c r="B27" s="84"/>
      <c r="E27" s="84"/>
    </row>
    <row r="28" spans="2:6" x14ac:dyDescent="0.2">
      <c r="B28" s="84"/>
      <c r="C28" s="84"/>
      <c r="D28" s="84"/>
      <c r="E28" s="84"/>
    </row>
    <row r="29" spans="2:6" x14ac:dyDescent="0.2">
      <c r="B29" s="84"/>
      <c r="C29" s="84"/>
      <c r="D29" s="84"/>
      <c r="E29" s="84"/>
    </row>
    <row r="30" spans="2:6" x14ac:dyDescent="0.2">
      <c r="B30" s="84"/>
      <c r="C30" s="84"/>
      <c r="D30" s="84"/>
      <c r="E30" s="84"/>
    </row>
    <row r="31" spans="2:6" x14ac:dyDescent="0.2">
      <c r="B31" s="84"/>
      <c r="C31" s="84"/>
      <c r="D31" s="84"/>
      <c r="E31" s="84"/>
    </row>
  </sheetData>
  <mergeCells count="5">
    <mergeCell ref="B6:B8"/>
    <mergeCell ref="C6:C8"/>
    <mergeCell ref="B4:F4"/>
    <mergeCell ref="B3:F3"/>
    <mergeCell ref="B2:F2"/>
  </mergeCells>
  <pageMargins left="0.75" right="0.75" top="1" bottom="1" header="0.5" footer="0.5"/>
  <pageSetup paperSize="9" scale="97"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48"/>
  <sheetViews>
    <sheetView showGridLines="0" view="pageBreakPreview" zoomScale="94" zoomScaleNormal="91" zoomScaleSheetLayoutView="94" workbookViewId="0">
      <selection activeCell="G19" sqref="G19"/>
    </sheetView>
  </sheetViews>
  <sheetFormatPr defaultColWidth="9.28515625" defaultRowHeight="14.25" x14ac:dyDescent="0.2"/>
  <cols>
    <col min="1" max="1" width="3.28515625" style="5" customWidth="1"/>
    <col min="2" max="2" width="6.28515625" style="5" customWidth="1"/>
    <col min="3" max="3" width="55.28515625" style="5" customWidth="1"/>
    <col min="4" max="4" width="11" style="34" customWidth="1"/>
    <col min="5" max="5" width="14" style="34" customWidth="1"/>
    <col min="6" max="6" width="12.140625" style="5" customWidth="1"/>
    <col min="7" max="7" width="15" style="5" customWidth="1"/>
    <col min="8" max="8" width="13.7109375" style="5" customWidth="1"/>
    <col min="9" max="10" width="13.28515625" style="5" customWidth="1"/>
    <col min="11" max="11" width="12.7109375" style="5" customWidth="1"/>
    <col min="12" max="12" width="15.7109375" style="5" customWidth="1"/>
    <col min="13" max="16384" width="9.28515625" style="5"/>
  </cols>
  <sheetData>
    <row r="2" spans="2:12" ht="15" x14ac:dyDescent="0.2">
      <c r="B2" s="36"/>
      <c r="D2" s="5"/>
      <c r="E2" s="5"/>
      <c r="F2" s="32" t="s">
        <v>403</v>
      </c>
    </row>
    <row r="3" spans="2:12" ht="15" x14ac:dyDescent="0.2">
      <c r="B3" s="32"/>
      <c r="D3" s="5"/>
      <c r="E3" s="5"/>
      <c r="F3" s="32" t="s">
        <v>468</v>
      </c>
    </row>
    <row r="4" spans="2:12" s="13" customFormat="1" ht="15" x14ac:dyDescent="0.2">
      <c r="B4" s="36"/>
      <c r="C4" s="5"/>
      <c r="D4" s="5"/>
      <c r="E4" s="5"/>
      <c r="F4" s="35" t="s">
        <v>297</v>
      </c>
      <c r="G4" s="5"/>
      <c r="H4" s="5"/>
      <c r="I4" s="5"/>
      <c r="J4" s="5"/>
      <c r="K4" s="5"/>
      <c r="L4" s="5"/>
    </row>
    <row r="5" spans="2:12" s="13" customFormat="1" ht="15" x14ac:dyDescent="0.2">
      <c r="C5" s="73"/>
      <c r="D5" s="34"/>
      <c r="E5" s="34"/>
      <c r="F5" s="232"/>
      <c r="G5" s="232"/>
      <c r="H5" s="232"/>
    </row>
    <row r="6" spans="2:12" ht="15" x14ac:dyDescent="0.2">
      <c r="B6" s="311" t="s">
        <v>193</v>
      </c>
      <c r="C6" s="313" t="s">
        <v>18</v>
      </c>
      <c r="D6" s="313" t="s">
        <v>39</v>
      </c>
      <c r="E6" s="280" t="s">
        <v>405</v>
      </c>
      <c r="F6" s="281"/>
      <c r="G6" s="282"/>
      <c r="H6" s="280" t="s">
        <v>406</v>
      </c>
      <c r="I6" s="281"/>
      <c r="J6" s="280" t="s">
        <v>467</v>
      </c>
      <c r="K6" s="282"/>
      <c r="L6" s="311" t="s">
        <v>11</v>
      </c>
    </row>
    <row r="7" spans="2:12" ht="30" x14ac:dyDescent="0.2">
      <c r="B7" s="313"/>
      <c r="C7" s="313"/>
      <c r="D7" s="313"/>
      <c r="E7" s="222" t="s">
        <v>370</v>
      </c>
      <c r="F7" s="222" t="s">
        <v>240</v>
      </c>
      <c r="G7" s="222" t="s">
        <v>208</v>
      </c>
      <c r="H7" s="222" t="s">
        <v>370</v>
      </c>
      <c r="I7" s="222" t="s">
        <v>232</v>
      </c>
      <c r="J7" s="222" t="s">
        <v>370</v>
      </c>
      <c r="K7" s="222" t="s">
        <v>232</v>
      </c>
      <c r="L7" s="311"/>
    </row>
    <row r="8" spans="2:12" ht="30" x14ac:dyDescent="0.2">
      <c r="B8" s="313"/>
      <c r="C8" s="313"/>
      <c r="D8" s="313"/>
      <c r="E8" s="222" t="s">
        <v>10</v>
      </c>
      <c r="F8" s="222" t="s">
        <v>12</v>
      </c>
      <c r="G8" s="222" t="s">
        <v>231</v>
      </c>
      <c r="H8" s="222" t="s">
        <v>10</v>
      </c>
      <c r="I8" s="222" t="s">
        <v>5</v>
      </c>
      <c r="J8" s="222" t="s">
        <v>10</v>
      </c>
      <c r="K8" s="222" t="s">
        <v>463</v>
      </c>
      <c r="L8" s="312"/>
    </row>
    <row r="9" spans="2:12" ht="15" x14ac:dyDescent="0.2">
      <c r="B9" s="222"/>
      <c r="C9" s="178"/>
      <c r="D9" s="233"/>
      <c r="E9" s="233"/>
      <c r="F9" s="230"/>
      <c r="G9" s="230"/>
      <c r="H9" s="230"/>
      <c r="I9" s="230"/>
      <c r="J9" s="230"/>
      <c r="K9" s="230"/>
      <c r="L9" s="230"/>
    </row>
    <row r="10" spans="2:12" ht="15" x14ac:dyDescent="0.2">
      <c r="B10" s="234">
        <v>1</v>
      </c>
      <c r="C10" s="235" t="s">
        <v>212</v>
      </c>
      <c r="D10" s="250" t="s">
        <v>40</v>
      </c>
      <c r="E10" s="251">
        <v>500</v>
      </c>
      <c r="F10" s="251"/>
      <c r="G10" s="251"/>
      <c r="H10" s="251"/>
      <c r="I10" s="251"/>
      <c r="J10" s="251"/>
      <c r="K10" s="247"/>
      <c r="L10" s="230"/>
    </row>
    <row r="11" spans="2:12" ht="15" x14ac:dyDescent="0.2">
      <c r="B11" s="234"/>
      <c r="C11" s="235" t="s">
        <v>344</v>
      </c>
      <c r="D11" s="250"/>
      <c r="E11" s="251" t="s">
        <v>489</v>
      </c>
      <c r="F11" s="251"/>
      <c r="G11" s="251"/>
      <c r="H11" s="251"/>
      <c r="I11" s="251"/>
      <c r="J11" s="251"/>
      <c r="K11" s="247"/>
      <c r="L11" s="230"/>
    </row>
    <row r="12" spans="2:12" ht="13.5" customHeight="1" x14ac:dyDescent="0.2">
      <c r="B12" s="234"/>
      <c r="C12" s="235" t="s">
        <v>221</v>
      </c>
      <c r="D12" s="250"/>
      <c r="E12" s="251" t="s">
        <v>490</v>
      </c>
      <c r="F12" s="251"/>
      <c r="G12" s="251"/>
      <c r="H12" s="251"/>
      <c r="I12" s="251"/>
      <c r="J12" s="251"/>
      <c r="K12" s="247"/>
      <c r="L12" s="230"/>
    </row>
    <row r="13" spans="2:12" ht="15" x14ac:dyDescent="0.2">
      <c r="B13" s="234"/>
      <c r="C13" s="235"/>
      <c r="D13" s="250"/>
      <c r="E13" s="251"/>
      <c r="F13" s="251"/>
      <c r="G13" s="251"/>
      <c r="H13" s="251"/>
      <c r="I13" s="251"/>
      <c r="J13" s="251"/>
      <c r="K13" s="247"/>
      <c r="L13" s="230"/>
    </row>
    <row r="14" spans="2:12" ht="15" x14ac:dyDescent="0.2">
      <c r="B14" s="222">
        <v>2</v>
      </c>
      <c r="C14" s="178" t="s">
        <v>173</v>
      </c>
      <c r="D14" s="250"/>
      <c r="E14" s="251"/>
      <c r="F14" s="251"/>
      <c r="G14" s="251"/>
      <c r="H14" s="251"/>
      <c r="I14" s="251"/>
      <c r="J14" s="251"/>
      <c r="K14" s="247"/>
      <c r="L14" s="230"/>
    </row>
    <row r="15" spans="2:12" ht="15" x14ac:dyDescent="0.2">
      <c r="B15" s="234">
        <f>B14+0.1</f>
        <v>2.1</v>
      </c>
      <c r="C15" s="235" t="s">
        <v>41</v>
      </c>
      <c r="D15" s="250" t="s">
        <v>42</v>
      </c>
      <c r="E15" s="251">
        <v>85</v>
      </c>
      <c r="F15" s="251">
        <v>85</v>
      </c>
      <c r="G15" s="251">
        <v>85</v>
      </c>
      <c r="H15" s="251">
        <v>85</v>
      </c>
      <c r="I15" s="251">
        <v>85</v>
      </c>
      <c r="J15" s="251">
        <v>85</v>
      </c>
      <c r="K15" s="247">
        <v>85</v>
      </c>
      <c r="L15" s="230"/>
    </row>
    <row r="16" spans="2:12" ht="15" x14ac:dyDescent="0.2">
      <c r="B16" s="234">
        <f>B15+0.1</f>
        <v>2.2000000000000002</v>
      </c>
      <c r="C16" s="235" t="s">
        <v>157</v>
      </c>
      <c r="D16" s="250" t="s">
        <v>42</v>
      </c>
      <c r="E16" s="251"/>
      <c r="F16" s="251">
        <v>82.94</v>
      </c>
      <c r="G16" s="251">
        <v>82.94</v>
      </c>
      <c r="H16" s="251"/>
      <c r="I16" s="251">
        <v>85</v>
      </c>
      <c r="J16" s="251"/>
      <c r="K16" s="247">
        <v>85</v>
      </c>
      <c r="L16" s="230"/>
    </row>
    <row r="17" spans="2:12" ht="15" x14ac:dyDescent="0.2">
      <c r="B17" s="234"/>
      <c r="C17" s="235"/>
      <c r="D17" s="250"/>
      <c r="E17" s="251"/>
      <c r="F17" s="251"/>
      <c r="G17" s="251"/>
      <c r="H17" s="251"/>
      <c r="I17" s="251"/>
      <c r="J17" s="251"/>
      <c r="K17" s="247"/>
      <c r="L17" s="230"/>
    </row>
    <row r="18" spans="2:12" ht="15" x14ac:dyDescent="0.2">
      <c r="B18" s="222">
        <v>3</v>
      </c>
      <c r="C18" s="178" t="s">
        <v>174</v>
      </c>
      <c r="D18" s="250"/>
      <c r="E18" s="251"/>
      <c r="F18" s="251"/>
      <c r="G18" s="251"/>
      <c r="H18" s="251"/>
      <c r="I18" s="251"/>
      <c r="J18" s="251"/>
      <c r="K18" s="247"/>
      <c r="L18" s="230"/>
    </row>
    <row r="19" spans="2:12" ht="15" x14ac:dyDescent="0.2">
      <c r="B19" s="234">
        <f>B18+0.1</f>
        <v>3.1</v>
      </c>
      <c r="C19" s="235" t="s">
        <v>43</v>
      </c>
      <c r="D19" s="250" t="s">
        <v>42</v>
      </c>
      <c r="E19" s="251">
        <v>85</v>
      </c>
      <c r="F19" s="251">
        <v>85</v>
      </c>
      <c r="G19" s="251">
        <v>85</v>
      </c>
      <c r="H19" s="251">
        <v>85</v>
      </c>
      <c r="I19" s="251">
        <v>85</v>
      </c>
      <c r="J19" s="251">
        <v>85</v>
      </c>
      <c r="K19" s="247">
        <v>85</v>
      </c>
      <c r="L19" s="230"/>
    </row>
    <row r="20" spans="2:12" ht="15" x14ac:dyDescent="0.2">
      <c r="B20" s="234">
        <f>B19+0.1</f>
        <v>3.2</v>
      </c>
      <c r="C20" s="235" t="s">
        <v>158</v>
      </c>
      <c r="D20" s="250" t="s">
        <v>42</v>
      </c>
      <c r="E20" s="251"/>
      <c r="F20" s="251">
        <v>67.599999999999994</v>
      </c>
      <c r="G20" s="251">
        <f>F20</f>
        <v>67.599999999999994</v>
      </c>
      <c r="H20" s="251"/>
      <c r="I20" s="251">
        <v>85</v>
      </c>
      <c r="J20" s="251"/>
      <c r="K20" s="247">
        <v>85.04</v>
      </c>
      <c r="L20" s="230"/>
    </row>
    <row r="21" spans="2:12" ht="15" x14ac:dyDescent="0.2">
      <c r="B21" s="234"/>
      <c r="C21" s="235"/>
      <c r="D21" s="250"/>
      <c r="E21" s="251"/>
      <c r="F21" s="251"/>
      <c r="G21" s="251"/>
      <c r="H21" s="251"/>
      <c r="I21" s="251"/>
      <c r="J21" s="251"/>
      <c r="K21" s="247"/>
      <c r="L21" s="230"/>
    </row>
    <row r="22" spans="2:12" ht="15" x14ac:dyDescent="0.2">
      <c r="B22" s="222">
        <v>4</v>
      </c>
      <c r="C22" s="178" t="s">
        <v>56</v>
      </c>
      <c r="D22" s="250"/>
      <c r="E22" s="251"/>
      <c r="F22" s="248"/>
      <c r="G22" s="251"/>
      <c r="H22" s="251"/>
      <c r="I22" s="251"/>
      <c r="J22" s="251"/>
      <c r="K22" s="247"/>
      <c r="L22" s="230"/>
    </row>
    <row r="23" spans="2:12" ht="15.75" x14ac:dyDescent="0.25">
      <c r="B23" s="234">
        <f>B22+0.1</f>
        <v>4.0999999999999996</v>
      </c>
      <c r="C23" s="235" t="s">
        <v>44</v>
      </c>
      <c r="D23" s="250" t="s">
        <v>45</v>
      </c>
      <c r="E23" s="251"/>
      <c r="F23" s="252">
        <v>2770.8157864080608</v>
      </c>
      <c r="G23" s="253">
        <f>F23</f>
        <v>2770.8157864080608</v>
      </c>
      <c r="H23" s="253"/>
      <c r="I23" s="252">
        <v>3214.9012069999999</v>
      </c>
      <c r="J23" s="253"/>
      <c r="K23" s="252">
        <v>3529.25</v>
      </c>
      <c r="L23" s="230"/>
    </row>
    <row r="24" spans="2:12" ht="15" x14ac:dyDescent="0.2">
      <c r="B24" s="234">
        <f>B23+0.1</f>
        <v>4.1999999999999993</v>
      </c>
      <c r="C24" s="236" t="s">
        <v>159</v>
      </c>
      <c r="D24" s="250" t="s">
        <v>45</v>
      </c>
      <c r="E24" s="251"/>
      <c r="F24" s="253">
        <v>2961.0387145824029</v>
      </c>
      <c r="G24" s="253">
        <f>F24</f>
        <v>2961.0387145824029</v>
      </c>
      <c r="H24" s="253"/>
      <c r="I24" s="253">
        <v>3414.9130830000004</v>
      </c>
      <c r="J24" s="253"/>
      <c r="K24" s="249">
        <v>3724.8</v>
      </c>
      <c r="L24" s="230"/>
    </row>
    <row r="25" spans="2:12" ht="15" x14ac:dyDescent="0.2">
      <c r="B25" s="234"/>
      <c r="C25" s="236"/>
      <c r="D25" s="250"/>
      <c r="E25" s="251"/>
      <c r="F25" s="253"/>
      <c r="G25" s="253"/>
      <c r="H25" s="253"/>
      <c r="I25" s="253"/>
      <c r="J25" s="253"/>
      <c r="K25" s="249"/>
      <c r="L25" s="230"/>
    </row>
    <row r="26" spans="2:12" ht="15" x14ac:dyDescent="0.2">
      <c r="B26" s="222">
        <v>5</v>
      </c>
      <c r="C26" s="180" t="s">
        <v>171</v>
      </c>
      <c r="D26" s="250"/>
      <c r="E26" s="251"/>
      <c r="F26" s="253"/>
      <c r="G26" s="253"/>
      <c r="H26" s="253"/>
      <c r="I26" s="253"/>
      <c r="J26" s="253"/>
      <c r="K26" s="249"/>
      <c r="L26" s="230"/>
    </row>
    <row r="27" spans="2:12" ht="15" x14ac:dyDescent="0.2">
      <c r="B27" s="234">
        <f>B26+0.1</f>
        <v>5.0999999999999996</v>
      </c>
      <c r="C27" s="236" t="s">
        <v>46</v>
      </c>
      <c r="D27" s="250" t="s">
        <v>42</v>
      </c>
      <c r="E27" s="251">
        <v>5.25</v>
      </c>
      <c r="F27" s="253">
        <v>5.25</v>
      </c>
      <c r="G27" s="253">
        <v>5.25</v>
      </c>
      <c r="H27" s="253">
        <v>5.25</v>
      </c>
      <c r="I27" s="253">
        <v>5.25</v>
      </c>
      <c r="J27" s="253">
        <v>5.25</v>
      </c>
      <c r="K27" s="249">
        <v>5.25</v>
      </c>
      <c r="L27" s="230"/>
    </row>
    <row r="28" spans="2:12" ht="16.5" customHeight="1" x14ac:dyDescent="0.2">
      <c r="B28" s="234">
        <f>B27+0.1</f>
        <v>5.1999999999999993</v>
      </c>
      <c r="C28" s="236" t="s">
        <v>160</v>
      </c>
      <c r="D28" s="250" t="s">
        <v>42</v>
      </c>
      <c r="E28" s="251"/>
      <c r="F28" s="253">
        <f>F29/F24*100</f>
        <v>6.4241959160324367</v>
      </c>
      <c r="G28" s="253">
        <f>F28</f>
        <v>6.4241959160324367</v>
      </c>
      <c r="H28" s="253">
        <f>H27</f>
        <v>5.25</v>
      </c>
      <c r="I28" s="253">
        <f>I29/I24*100</f>
        <v>5.857012203200501</v>
      </c>
      <c r="J28" s="253">
        <f t="shared" ref="J28:K28" si="0">J27</f>
        <v>5.25</v>
      </c>
      <c r="K28" s="253">
        <f t="shared" si="0"/>
        <v>5.25</v>
      </c>
      <c r="L28" s="230"/>
    </row>
    <row r="29" spans="2:12" ht="16.5" customHeight="1" x14ac:dyDescent="0.2">
      <c r="B29" s="234">
        <f>B28+0.1</f>
        <v>5.2999999999999989</v>
      </c>
      <c r="C29" s="236" t="s">
        <v>160</v>
      </c>
      <c r="D29" s="250" t="s">
        <v>45</v>
      </c>
      <c r="E29" s="251"/>
      <c r="F29" s="253">
        <f>F24-F23</f>
        <v>190.22292817434209</v>
      </c>
      <c r="G29" s="253">
        <f>F29</f>
        <v>190.22292817434209</v>
      </c>
      <c r="H29" s="253"/>
      <c r="I29" s="253">
        <f>I24-I23</f>
        <v>200.01187600000048</v>
      </c>
      <c r="J29" s="253"/>
      <c r="K29" s="249">
        <v>195.55</v>
      </c>
      <c r="L29" s="230"/>
    </row>
    <row r="30" spans="2:12" ht="15" x14ac:dyDescent="0.2">
      <c r="B30" s="234">
        <f>B29+0.1</f>
        <v>5.3999999999999986</v>
      </c>
      <c r="C30" s="236" t="s">
        <v>47</v>
      </c>
      <c r="D30" s="250" t="s">
        <v>45</v>
      </c>
      <c r="E30" s="251"/>
      <c r="F30" s="253">
        <f>F23</f>
        <v>2770.8157864080608</v>
      </c>
      <c r="G30" s="253">
        <f>F30</f>
        <v>2770.8157864080608</v>
      </c>
      <c r="H30" s="253"/>
      <c r="I30" s="253">
        <v>3214.9012069999999</v>
      </c>
      <c r="J30" s="253"/>
      <c r="K30" s="249">
        <f>K23</f>
        <v>3529.25</v>
      </c>
      <c r="L30" s="230"/>
    </row>
    <row r="31" spans="2:12" ht="15" x14ac:dyDescent="0.2">
      <c r="B31" s="234"/>
      <c r="C31" s="236"/>
      <c r="D31" s="250"/>
      <c r="E31" s="251"/>
      <c r="F31" s="253"/>
      <c r="G31" s="253"/>
      <c r="H31" s="253"/>
      <c r="I31" s="253"/>
      <c r="J31" s="253"/>
      <c r="K31" s="249"/>
      <c r="L31" s="230"/>
    </row>
    <row r="32" spans="2:12" ht="15" x14ac:dyDescent="0.2">
      <c r="B32" s="222">
        <v>6</v>
      </c>
      <c r="C32" s="180" t="s">
        <v>207</v>
      </c>
      <c r="D32" s="250"/>
      <c r="E32" s="251"/>
      <c r="F32" s="251"/>
      <c r="G32" s="251"/>
      <c r="H32" s="251"/>
      <c r="I32" s="251"/>
      <c r="J32" s="251"/>
      <c r="K32" s="247"/>
      <c r="L32" s="230"/>
    </row>
    <row r="33" spans="2:12" ht="15" x14ac:dyDescent="0.2">
      <c r="B33" s="234">
        <f>B32+0.1</f>
        <v>6.1</v>
      </c>
      <c r="C33" s="236" t="s">
        <v>48</v>
      </c>
      <c r="D33" s="250" t="s">
        <v>49</v>
      </c>
      <c r="E33" s="251">
        <v>2450</v>
      </c>
      <c r="F33" s="251">
        <v>2450</v>
      </c>
      <c r="G33" s="251">
        <v>2450</v>
      </c>
      <c r="H33" s="251">
        <v>2450</v>
      </c>
      <c r="I33" s="251">
        <v>2450</v>
      </c>
      <c r="J33" s="251">
        <v>2450</v>
      </c>
      <c r="K33" s="251">
        <v>2450</v>
      </c>
      <c r="L33" s="230"/>
    </row>
    <row r="34" spans="2:12" ht="15" x14ac:dyDescent="0.2">
      <c r="B34" s="234">
        <f>B33+0.1</f>
        <v>6.1999999999999993</v>
      </c>
      <c r="C34" s="235" t="s">
        <v>161</v>
      </c>
      <c r="D34" s="250" t="s">
        <v>49</v>
      </c>
      <c r="E34" s="251"/>
      <c r="F34" s="254">
        <v>2335.2296255200049</v>
      </c>
      <c r="G34" s="254">
        <f>F34</f>
        <v>2335.2296255200049</v>
      </c>
      <c r="H34" s="251"/>
      <c r="I34" s="251">
        <v>2450</v>
      </c>
      <c r="J34" s="251"/>
      <c r="K34" s="247">
        <v>2450</v>
      </c>
      <c r="L34" s="230"/>
    </row>
    <row r="35" spans="2:12" ht="15" x14ac:dyDescent="0.2">
      <c r="B35" s="234"/>
      <c r="C35" s="235"/>
      <c r="D35" s="250"/>
      <c r="E35" s="251"/>
      <c r="F35" s="251"/>
      <c r="G35" s="251"/>
      <c r="H35" s="251"/>
      <c r="I35" s="251"/>
      <c r="J35" s="251"/>
      <c r="K35" s="247"/>
      <c r="L35" s="230"/>
    </row>
    <row r="36" spans="2:12" ht="15" x14ac:dyDescent="0.2">
      <c r="B36" s="222">
        <v>7</v>
      </c>
      <c r="C36" s="178" t="s">
        <v>175</v>
      </c>
      <c r="D36" s="250"/>
      <c r="E36" s="251"/>
      <c r="F36" s="251"/>
      <c r="G36" s="251"/>
      <c r="H36" s="251"/>
      <c r="I36" s="251"/>
      <c r="J36" s="251"/>
      <c r="K36" s="247"/>
      <c r="L36" s="230"/>
    </row>
    <row r="37" spans="2:12" ht="15" x14ac:dyDescent="0.2">
      <c r="B37" s="234">
        <f>B36+0.1</f>
        <v>7.1</v>
      </c>
      <c r="C37" s="235" t="s">
        <v>50</v>
      </c>
      <c r="D37" s="250" t="s">
        <v>51</v>
      </c>
      <c r="E37" s="251">
        <v>0.5</v>
      </c>
      <c r="F37" s="251">
        <v>0.5</v>
      </c>
      <c r="G37" s="251">
        <v>0.5</v>
      </c>
      <c r="H37" s="251">
        <v>0.5</v>
      </c>
      <c r="I37" s="251">
        <v>0.5</v>
      </c>
      <c r="J37" s="251">
        <v>0.5</v>
      </c>
      <c r="K37" s="247">
        <v>0.5</v>
      </c>
      <c r="L37" s="230"/>
    </row>
    <row r="38" spans="2:12" ht="15" x14ac:dyDescent="0.2">
      <c r="B38" s="234">
        <f>B37+0.1</f>
        <v>7.1999999999999993</v>
      </c>
      <c r="C38" s="235" t="s">
        <v>162</v>
      </c>
      <c r="D38" s="250" t="s">
        <v>51</v>
      </c>
      <c r="E38" s="251"/>
      <c r="F38" s="253">
        <v>0.37299444771216422</v>
      </c>
      <c r="G38" s="253">
        <f>F38</f>
        <v>0.37299444771216422</v>
      </c>
      <c r="H38" s="251"/>
      <c r="I38" s="251">
        <v>0.5</v>
      </c>
      <c r="J38" s="251"/>
      <c r="K38" s="247">
        <v>0.5</v>
      </c>
      <c r="L38" s="230"/>
    </row>
    <row r="39" spans="2:12" ht="15" x14ac:dyDescent="0.2">
      <c r="B39" s="234"/>
      <c r="C39" s="235"/>
      <c r="D39" s="250"/>
      <c r="E39" s="251"/>
      <c r="F39" s="251"/>
      <c r="G39" s="251"/>
      <c r="H39" s="251"/>
      <c r="I39" s="251"/>
      <c r="J39" s="251"/>
      <c r="K39" s="247"/>
      <c r="L39" s="230"/>
    </row>
    <row r="40" spans="2:12" ht="15" x14ac:dyDescent="0.2">
      <c r="B40" s="222">
        <v>8</v>
      </c>
      <c r="C40" s="178" t="s">
        <v>53</v>
      </c>
      <c r="D40" s="250"/>
      <c r="E40" s="251"/>
      <c r="F40" s="251"/>
      <c r="G40" s="251"/>
      <c r="H40" s="251"/>
      <c r="I40" s="251"/>
      <c r="J40" s="251"/>
      <c r="K40" s="247"/>
      <c r="L40" s="230"/>
    </row>
    <row r="41" spans="2:12" ht="15" x14ac:dyDescent="0.2">
      <c r="B41" s="234">
        <f>B40+0.1</f>
        <v>8.1</v>
      </c>
      <c r="C41" s="235" t="s">
        <v>52</v>
      </c>
      <c r="D41" s="250" t="s">
        <v>42</v>
      </c>
      <c r="E41" s="251">
        <v>0.8</v>
      </c>
      <c r="F41" s="251">
        <v>0.8</v>
      </c>
      <c r="G41" s="251">
        <v>0.8</v>
      </c>
      <c r="H41" s="251">
        <v>0.8</v>
      </c>
      <c r="I41" s="251">
        <v>0.8</v>
      </c>
      <c r="J41" s="251">
        <v>0.8</v>
      </c>
      <c r="K41" s="251">
        <v>0.8</v>
      </c>
      <c r="L41" s="230"/>
    </row>
    <row r="42" spans="2:12" ht="15" x14ac:dyDescent="0.2">
      <c r="B42" s="234">
        <f>B41+0.1</f>
        <v>8.1999999999999993</v>
      </c>
      <c r="C42" s="235" t="s">
        <v>163</v>
      </c>
      <c r="D42" s="250" t="s">
        <v>42</v>
      </c>
      <c r="E42" s="251"/>
      <c r="F42" s="251"/>
      <c r="G42" s="251"/>
      <c r="H42" s="251"/>
      <c r="I42" s="251">
        <v>0.8</v>
      </c>
      <c r="J42" s="251"/>
      <c r="K42" s="247">
        <v>0.8</v>
      </c>
      <c r="L42" s="230"/>
    </row>
    <row r="43" spans="2:12" ht="15" x14ac:dyDescent="0.2">
      <c r="B43" s="222"/>
      <c r="C43" s="178"/>
      <c r="D43" s="255"/>
      <c r="E43" s="256"/>
      <c r="F43" s="251"/>
      <c r="G43" s="251"/>
      <c r="H43" s="251"/>
      <c r="I43" s="251"/>
      <c r="J43" s="251"/>
      <c r="K43" s="247"/>
      <c r="L43" s="230"/>
    </row>
    <row r="44" spans="2:12" ht="15" x14ac:dyDescent="0.2">
      <c r="B44" s="38"/>
      <c r="C44" s="86"/>
      <c r="D44" s="237"/>
      <c r="E44" s="237"/>
      <c r="F44" s="38"/>
      <c r="G44" s="38"/>
      <c r="H44" s="38"/>
      <c r="I44" s="38"/>
      <c r="J44" s="38"/>
    </row>
    <row r="45" spans="2:12" ht="16.5" x14ac:dyDescent="0.2">
      <c r="D45" s="238"/>
      <c r="E45" s="238"/>
      <c r="F45" s="87"/>
      <c r="G45" s="87"/>
      <c r="H45" s="87"/>
      <c r="I45" s="87"/>
      <c r="J45" s="87"/>
    </row>
    <row r="46" spans="2:12" ht="16.5" x14ac:dyDescent="0.2">
      <c r="B46" s="13"/>
      <c r="F46" s="87"/>
      <c r="G46" s="87"/>
      <c r="H46" s="87"/>
      <c r="I46" s="87"/>
      <c r="J46" s="87"/>
    </row>
    <row r="47" spans="2:12" ht="16.5" x14ac:dyDescent="0.2">
      <c r="C47" s="48"/>
      <c r="F47" s="87"/>
      <c r="G47" s="87"/>
      <c r="H47" s="87"/>
      <c r="I47" s="87"/>
      <c r="J47" s="87"/>
    </row>
    <row r="48" spans="2:12" x14ac:dyDescent="0.2">
      <c r="F48" s="239"/>
      <c r="G48" s="239"/>
      <c r="H48" s="239"/>
      <c r="I48" s="239"/>
      <c r="J48" s="239"/>
    </row>
  </sheetData>
  <mergeCells count="7">
    <mergeCell ref="L6:L8"/>
    <mergeCell ref="B6:B8"/>
    <mergeCell ref="C6:C8"/>
    <mergeCell ref="D6:D8"/>
    <mergeCell ref="E6:G6"/>
    <mergeCell ref="H6:I6"/>
    <mergeCell ref="J6:K6"/>
  </mergeCells>
  <pageMargins left="1.41" right="0.5" top="0.43" bottom="0.63" header="0.5" footer="0.5"/>
  <pageSetup paperSize="9" scale="68"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V53"/>
  <sheetViews>
    <sheetView showGridLines="0" showWhiteSpace="0" view="pageBreakPreview" zoomScale="89" zoomScaleNormal="91" zoomScaleSheetLayoutView="89" zoomScalePageLayoutView="48" workbookViewId="0">
      <selection activeCell="H21" sqref="H21"/>
    </sheetView>
  </sheetViews>
  <sheetFormatPr defaultColWidth="9.28515625" defaultRowHeight="14.25" x14ac:dyDescent="0.2"/>
  <cols>
    <col min="1" max="1" width="2.28515625" style="88" customWidth="1"/>
    <col min="2" max="2" width="9.28515625" style="88"/>
    <col min="3" max="3" width="57.5703125" style="88" customWidth="1"/>
    <col min="4" max="4" width="9.5703125" style="214" customWidth="1"/>
    <col min="5" max="5" width="12.140625" style="88" bestFit="1" customWidth="1"/>
    <col min="6" max="21" width="11.85546875" style="88" bestFit="1" customWidth="1"/>
    <col min="22" max="22" width="11.7109375" style="88" customWidth="1"/>
    <col min="23" max="16384" width="9.28515625" style="88"/>
  </cols>
  <sheetData>
    <row r="2" spans="2:22" ht="15" x14ac:dyDescent="0.2">
      <c r="M2" s="32" t="s">
        <v>403</v>
      </c>
    </row>
    <row r="3" spans="2:22" ht="15" x14ac:dyDescent="0.2">
      <c r="M3" s="32" t="s">
        <v>468</v>
      </c>
    </row>
    <row r="4" spans="2:22" ht="15" x14ac:dyDescent="0.2">
      <c r="M4" s="35" t="s">
        <v>345</v>
      </c>
    </row>
    <row r="6" spans="2:22" ht="15" x14ac:dyDescent="0.2">
      <c r="B6" s="314" t="s">
        <v>193</v>
      </c>
      <c r="C6" s="314" t="s">
        <v>18</v>
      </c>
      <c r="D6" s="314" t="s">
        <v>39</v>
      </c>
      <c r="E6" s="314" t="s">
        <v>405</v>
      </c>
      <c r="F6" s="314"/>
      <c r="G6" s="314"/>
      <c r="H6" s="314"/>
      <c r="I6" s="314"/>
      <c r="J6" s="314"/>
      <c r="K6" s="314"/>
      <c r="L6" s="314"/>
      <c r="M6" s="314"/>
      <c r="N6" s="314"/>
      <c r="O6" s="314"/>
      <c r="P6" s="314"/>
      <c r="Q6" s="314" t="s">
        <v>406</v>
      </c>
      <c r="R6" s="314"/>
      <c r="S6" s="314"/>
      <c r="T6" s="314"/>
      <c r="U6" s="314"/>
      <c r="V6" s="314"/>
    </row>
    <row r="7" spans="2:22" ht="15" x14ac:dyDescent="0.2">
      <c r="B7" s="314"/>
      <c r="C7" s="314"/>
      <c r="D7" s="314"/>
      <c r="E7" s="200" t="s">
        <v>141</v>
      </c>
      <c r="F7" s="200" t="s">
        <v>142</v>
      </c>
      <c r="G7" s="200" t="s">
        <v>143</v>
      </c>
      <c r="H7" s="200" t="s">
        <v>144</v>
      </c>
      <c r="I7" s="200" t="s">
        <v>145</v>
      </c>
      <c r="J7" s="200" t="s">
        <v>146</v>
      </c>
      <c r="K7" s="200" t="s">
        <v>147</v>
      </c>
      <c r="L7" s="200" t="s">
        <v>148</v>
      </c>
      <c r="M7" s="200" t="s">
        <v>149</v>
      </c>
      <c r="N7" s="200" t="s">
        <v>150</v>
      </c>
      <c r="O7" s="200" t="s">
        <v>151</v>
      </c>
      <c r="P7" s="200" t="s">
        <v>152</v>
      </c>
      <c r="Q7" s="200" t="s">
        <v>141</v>
      </c>
      <c r="R7" s="200" t="s">
        <v>142</v>
      </c>
      <c r="S7" s="200" t="s">
        <v>143</v>
      </c>
      <c r="T7" s="200" t="s">
        <v>144</v>
      </c>
      <c r="U7" s="200" t="s">
        <v>145</v>
      </c>
      <c r="V7" s="200" t="s">
        <v>146</v>
      </c>
    </row>
    <row r="8" spans="2:22" ht="15" x14ac:dyDescent="0.2">
      <c r="B8" s="200" t="s">
        <v>67</v>
      </c>
      <c r="C8" s="203" t="s">
        <v>302</v>
      </c>
      <c r="E8" s="205"/>
      <c r="F8" s="205"/>
      <c r="G8" s="205"/>
      <c r="H8" s="205"/>
      <c r="I8" s="205"/>
      <c r="J8" s="205"/>
      <c r="K8" s="205"/>
      <c r="L8" s="205"/>
      <c r="M8" s="205"/>
      <c r="N8" s="205"/>
      <c r="O8" s="205"/>
      <c r="P8" s="205"/>
      <c r="Q8" s="205"/>
      <c r="R8" s="205"/>
      <c r="S8" s="205"/>
      <c r="T8" s="205"/>
      <c r="U8" s="205"/>
      <c r="V8" s="205"/>
    </row>
    <row r="9" spans="2:22" x14ac:dyDescent="0.2">
      <c r="B9" s="204">
        <v>1</v>
      </c>
      <c r="C9" s="205" t="s">
        <v>303</v>
      </c>
      <c r="D9" s="204" t="s">
        <v>305</v>
      </c>
      <c r="E9" s="215">
        <v>371733.00000000501</v>
      </c>
      <c r="F9" s="215">
        <v>330052.39000000455</v>
      </c>
      <c r="G9" s="215">
        <v>281323.81000000436</v>
      </c>
      <c r="H9" s="215">
        <v>253322.00000000463</v>
      </c>
      <c r="I9" s="215">
        <v>282814.77000000456</v>
      </c>
      <c r="J9" s="215">
        <v>299990.26000000443</v>
      </c>
      <c r="K9" s="215">
        <v>279571.00400000397</v>
      </c>
      <c r="L9" s="215">
        <v>308680.59400000377</v>
      </c>
      <c r="M9" s="215">
        <v>347324.76400000369</v>
      </c>
      <c r="N9" s="215">
        <v>421308.00400000362</v>
      </c>
      <c r="O9" s="215">
        <v>389352.01400000369</v>
      </c>
      <c r="P9" s="215">
        <v>338579.38400000369</v>
      </c>
      <c r="Q9" s="215">
        <v>342459</v>
      </c>
      <c r="R9" s="215">
        <v>325362.79400000349</v>
      </c>
      <c r="S9" s="215">
        <v>341088.82400000328</v>
      </c>
      <c r="T9" s="215">
        <v>314703.4840000032</v>
      </c>
      <c r="U9" s="215">
        <v>235368.61400000332</v>
      </c>
      <c r="V9" s="215">
        <v>203671.10400000354</v>
      </c>
    </row>
    <row r="10" spans="2:22" x14ac:dyDescent="0.2">
      <c r="B10" s="204">
        <f>B9+1</f>
        <v>2</v>
      </c>
      <c r="C10" s="205" t="s">
        <v>304</v>
      </c>
      <c r="D10" s="207" t="s">
        <v>433</v>
      </c>
      <c r="E10" s="215">
        <v>199.874605300491</v>
      </c>
      <c r="F10" s="215">
        <v>182.14139725191617</v>
      </c>
      <c r="G10" s="215">
        <v>158.82278238445664</v>
      </c>
      <c r="H10" s="215">
        <v>143.94864536800131</v>
      </c>
      <c r="I10" s="215">
        <v>162.10610353668449</v>
      </c>
      <c r="J10" s="215">
        <v>173.17777374007247</v>
      </c>
      <c r="K10" s="215">
        <v>159.51429225331046</v>
      </c>
      <c r="L10" s="215">
        <v>169.99847064953664</v>
      </c>
      <c r="M10" s="215">
        <v>197.48008258687852</v>
      </c>
      <c r="N10" s="215">
        <v>246.79028596074505</v>
      </c>
      <c r="O10" s="215">
        <v>231.99005210951964</v>
      </c>
      <c r="P10" s="215">
        <v>199.23661209575587</v>
      </c>
      <c r="Q10" s="215">
        <v>199.03290000000001</v>
      </c>
      <c r="R10" s="215">
        <v>177.29892070217176</v>
      </c>
      <c r="S10" s="215">
        <v>178.52293572279714</v>
      </c>
      <c r="T10" s="215">
        <v>163.38339782003851</v>
      </c>
      <c r="U10" s="215">
        <v>124.10322896605024</v>
      </c>
      <c r="V10" s="215">
        <v>105.92591496917338</v>
      </c>
    </row>
    <row r="11" spans="2:22" ht="15" x14ac:dyDescent="0.2">
      <c r="B11" s="200" t="s">
        <v>71</v>
      </c>
      <c r="C11" s="203" t="s">
        <v>306</v>
      </c>
      <c r="D11" s="204"/>
      <c r="E11" s="215"/>
      <c r="F11" s="215"/>
      <c r="G11" s="215"/>
      <c r="H11" s="215"/>
      <c r="I11" s="215"/>
      <c r="J11" s="215"/>
      <c r="K11" s="215"/>
      <c r="L11" s="215"/>
      <c r="M11" s="215"/>
      <c r="N11" s="215"/>
      <c r="O11" s="215"/>
      <c r="P11" s="215"/>
      <c r="Q11" s="215"/>
      <c r="R11" s="215"/>
      <c r="S11" s="215"/>
      <c r="T11" s="215"/>
      <c r="U11" s="215"/>
      <c r="V11" s="215"/>
    </row>
    <row r="12" spans="2:22" x14ac:dyDescent="0.2">
      <c r="B12" s="204">
        <f>B10+1</f>
        <v>3</v>
      </c>
      <c r="C12" s="205" t="s">
        <v>307</v>
      </c>
      <c r="D12" s="204" t="s">
        <v>305</v>
      </c>
      <c r="E12" s="215">
        <v>339456.09</v>
      </c>
      <c r="F12" s="215">
        <v>349937.1100000001</v>
      </c>
      <c r="G12" s="215">
        <v>370692.81999999995</v>
      </c>
      <c r="H12" s="215">
        <v>278162.26999999984</v>
      </c>
      <c r="I12" s="215">
        <v>295146.46999999997</v>
      </c>
      <c r="J12" s="215">
        <v>333515.0299999998</v>
      </c>
      <c r="K12" s="215">
        <v>378618.75999999966</v>
      </c>
      <c r="L12" s="215">
        <v>274043.2300000001</v>
      </c>
      <c r="M12" s="215">
        <v>235464.94</v>
      </c>
      <c r="N12" s="215">
        <v>298014.21999999991</v>
      </c>
      <c r="O12" s="215">
        <v>341693.99000000011</v>
      </c>
      <c r="P12" s="215">
        <v>411789.10999999987</v>
      </c>
      <c r="Q12" s="215">
        <v>332250.73999999964</v>
      </c>
      <c r="R12" s="215">
        <v>352839.73999999987</v>
      </c>
      <c r="S12" s="215">
        <v>334428.58000000019</v>
      </c>
      <c r="T12" s="215">
        <v>297191.54999999993</v>
      </c>
      <c r="U12" s="215">
        <v>336342.55000000028</v>
      </c>
      <c r="V12" s="215">
        <v>319243.99999999977</v>
      </c>
    </row>
    <row r="13" spans="2:22" x14ac:dyDescent="0.2">
      <c r="B13" s="204">
        <f>B12+1</f>
        <v>4</v>
      </c>
      <c r="C13" s="205" t="s">
        <v>396</v>
      </c>
      <c r="D13" s="204" t="s">
        <v>305</v>
      </c>
      <c r="E13" s="215"/>
      <c r="F13" s="215"/>
      <c r="G13" s="215"/>
      <c r="H13" s="215"/>
      <c r="I13" s="215"/>
      <c r="J13" s="215"/>
      <c r="K13" s="215"/>
      <c r="L13" s="215"/>
      <c r="M13" s="215"/>
      <c r="N13" s="215"/>
      <c r="O13" s="215"/>
      <c r="P13" s="215"/>
      <c r="Q13" s="215"/>
      <c r="R13" s="215"/>
      <c r="S13" s="215"/>
      <c r="T13" s="215"/>
      <c r="U13" s="215"/>
      <c r="V13" s="215"/>
    </row>
    <row r="14" spans="2:22" ht="15" x14ac:dyDescent="0.2">
      <c r="B14" s="204">
        <f>B13+1</f>
        <v>5</v>
      </c>
      <c r="C14" s="205" t="s">
        <v>308</v>
      </c>
      <c r="D14" s="204" t="s">
        <v>305</v>
      </c>
      <c r="E14" s="216">
        <f>E12+E13</f>
        <v>339456.09</v>
      </c>
      <c r="F14" s="216">
        <f t="shared" ref="F14:V14" si="0">F12+F13</f>
        <v>349937.1100000001</v>
      </c>
      <c r="G14" s="216">
        <f t="shared" si="0"/>
        <v>370692.81999999995</v>
      </c>
      <c r="H14" s="216">
        <f t="shared" si="0"/>
        <v>278162.26999999984</v>
      </c>
      <c r="I14" s="216">
        <f t="shared" si="0"/>
        <v>295146.46999999997</v>
      </c>
      <c r="J14" s="216">
        <f t="shared" si="0"/>
        <v>333515.0299999998</v>
      </c>
      <c r="K14" s="216">
        <f t="shared" si="0"/>
        <v>378618.75999999966</v>
      </c>
      <c r="L14" s="216">
        <f t="shared" si="0"/>
        <v>274043.2300000001</v>
      </c>
      <c r="M14" s="216">
        <f t="shared" si="0"/>
        <v>235464.94</v>
      </c>
      <c r="N14" s="216">
        <f t="shared" si="0"/>
        <v>298014.21999999991</v>
      </c>
      <c r="O14" s="216">
        <f t="shared" si="0"/>
        <v>341693.99000000011</v>
      </c>
      <c r="P14" s="216">
        <f t="shared" si="0"/>
        <v>411789.10999999987</v>
      </c>
      <c r="Q14" s="216">
        <f t="shared" si="0"/>
        <v>332250.73999999964</v>
      </c>
      <c r="R14" s="216">
        <f t="shared" si="0"/>
        <v>352839.73999999987</v>
      </c>
      <c r="S14" s="216">
        <f t="shared" si="0"/>
        <v>334428.58000000019</v>
      </c>
      <c r="T14" s="216">
        <f t="shared" si="0"/>
        <v>297191.54999999993</v>
      </c>
      <c r="U14" s="216">
        <f t="shared" si="0"/>
        <v>336342.55000000028</v>
      </c>
      <c r="V14" s="216">
        <f t="shared" si="0"/>
        <v>319243.99999999977</v>
      </c>
    </row>
    <row r="15" spans="2:22" x14ac:dyDescent="0.2">
      <c r="B15" s="204">
        <f>B14+1</f>
        <v>6</v>
      </c>
      <c r="C15" s="205" t="s">
        <v>309</v>
      </c>
      <c r="D15" s="204" t="s">
        <v>305</v>
      </c>
      <c r="E15" s="215">
        <v>2715.6487199998228</v>
      </c>
      <c r="F15" s="215">
        <v>2799.4968799999915</v>
      </c>
      <c r="G15" s="215">
        <v>2965.5425600000308</v>
      </c>
      <c r="H15" s="215">
        <v>2225.2981600000057</v>
      </c>
      <c r="I15" s="215">
        <v>2361.1717599998228</v>
      </c>
      <c r="J15" s="215">
        <v>2668.1202400000184</v>
      </c>
      <c r="K15" s="215">
        <v>3028.9500799999805</v>
      </c>
      <c r="L15" s="215">
        <v>2192.3458400000236</v>
      </c>
      <c r="M15" s="215">
        <v>1883.7195200000133</v>
      </c>
      <c r="N15" s="215">
        <v>2384.1137599999784</v>
      </c>
      <c r="O15" s="215">
        <v>2733.5519199999981</v>
      </c>
      <c r="P15" s="215">
        <v>3294.3128799999831</v>
      </c>
      <c r="Q15" s="215">
        <v>2658.0059200000251</v>
      </c>
      <c r="R15" s="215">
        <v>2822.7179200000246</v>
      </c>
      <c r="S15" s="215">
        <v>2675.4286399999983</v>
      </c>
      <c r="T15" s="215">
        <v>2377.5324000000255</v>
      </c>
      <c r="U15" s="215">
        <v>2690.7404000000097</v>
      </c>
      <c r="V15" s="215">
        <v>2553.9519999999902</v>
      </c>
    </row>
    <row r="16" spans="2:22" ht="15" x14ac:dyDescent="0.2">
      <c r="B16" s="204">
        <f>B15+1</f>
        <v>7</v>
      </c>
      <c r="C16" s="205" t="s">
        <v>310</v>
      </c>
      <c r="D16" s="204" t="s">
        <v>305</v>
      </c>
      <c r="E16" s="216">
        <f>E14-E15</f>
        <v>336740.4412800002</v>
      </c>
      <c r="F16" s="216">
        <f t="shared" ref="F16:V16" si="1">F14-F15</f>
        <v>347137.61312000011</v>
      </c>
      <c r="G16" s="216">
        <f t="shared" si="1"/>
        <v>367727.27743999992</v>
      </c>
      <c r="H16" s="216">
        <f t="shared" si="1"/>
        <v>275936.97183999984</v>
      </c>
      <c r="I16" s="216">
        <f t="shared" si="1"/>
        <v>292785.29824000015</v>
      </c>
      <c r="J16" s="216">
        <f t="shared" si="1"/>
        <v>330846.90975999978</v>
      </c>
      <c r="K16" s="216">
        <f t="shared" si="1"/>
        <v>375589.80991999968</v>
      </c>
      <c r="L16" s="216">
        <f t="shared" si="1"/>
        <v>271850.88416000007</v>
      </c>
      <c r="M16" s="216">
        <f t="shared" si="1"/>
        <v>233581.22047999999</v>
      </c>
      <c r="N16" s="216">
        <f t="shared" si="1"/>
        <v>295630.10623999994</v>
      </c>
      <c r="O16" s="216">
        <f t="shared" si="1"/>
        <v>338960.43808000011</v>
      </c>
      <c r="P16" s="216">
        <f t="shared" si="1"/>
        <v>408494.79711999989</v>
      </c>
      <c r="Q16" s="216">
        <f t="shared" si="1"/>
        <v>329592.73407999962</v>
      </c>
      <c r="R16" s="216">
        <f t="shared" si="1"/>
        <v>350017.02207999985</v>
      </c>
      <c r="S16" s="216">
        <f t="shared" si="1"/>
        <v>331753.15136000019</v>
      </c>
      <c r="T16" s="216">
        <f t="shared" si="1"/>
        <v>294814.0175999999</v>
      </c>
      <c r="U16" s="216">
        <f t="shared" si="1"/>
        <v>333651.80960000027</v>
      </c>
      <c r="V16" s="216">
        <f t="shared" si="1"/>
        <v>316690.04799999978</v>
      </c>
    </row>
    <row r="17" spans="2:22" ht="15" x14ac:dyDescent="0.2">
      <c r="B17" s="200" t="s">
        <v>72</v>
      </c>
      <c r="C17" s="203" t="s">
        <v>311</v>
      </c>
      <c r="D17" s="204"/>
      <c r="E17" s="217"/>
      <c r="F17" s="217"/>
      <c r="G17" s="217"/>
      <c r="H17" s="217"/>
      <c r="I17" s="217"/>
      <c r="J17" s="217"/>
      <c r="K17" s="217"/>
      <c r="L17" s="217"/>
      <c r="M17" s="217"/>
      <c r="N17" s="217"/>
      <c r="O17" s="217"/>
      <c r="P17" s="217"/>
      <c r="Q17" s="217"/>
      <c r="R17" s="217"/>
      <c r="S17" s="217"/>
      <c r="T17" s="217"/>
      <c r="U17" s="217"/>
      <c r="V17" s="217"/>
    </row>
    <row r="18" spans="2:22" x14ac:dyDescent="0.2">
      <c r="B18" s="204">
        <f>B16+1</f>
        <v>8</v>
      </c>
      <c r="C18" s="205" t="s">
        <v>312</v>
      </c>
      <c r="D18" s="207" t="s">
        <v>433</v>
      </c>
      <c r="E18" s="215">
        <v>181.67042950199999</v>
      </c>
      <c r="F18" s="215">
        <v>192.959832436</v>
      </c>
      <c r="G18" s="215">
        <v>201.370179732</v>
      </c>
      <c r="H18" s="215">
        <v>153.53916424499999</v>
      </c>
      <c r="I18" s="215">
        <v>162.59355426600419</v>
      </c>
      <c r="J18" s="215">
        <v>179.96962036299999</v>
      </c>
      <c r="K18" s="215">
        <v>201.18034326699998</v>
      </c>
      <c r="L18" s="215">
        <v>154.72992564399999</v>
      </c>
      <c r="M18" s="215">
        <v>136.90167766100001</v>
      </c>
      <c r="N18" s="215">
        <v>171.659437053</v>
      </c>
      <c r="O18" s="215">
        <v>188.712142497</v>
      </c>
      <c r="P18" s="215">
        <v>226.29493937199999</v>
      </c>
      <c r="Q18" s="215">
        <v>165.76401784500013</v>
      </c>
      <c r="R18" s="215">
        <v>172.85473925600019</v>
      </c>
      <c r="S18" s="215">
        <v>167.39001572999993</v>
      </c>
      <c r="T18" s="215">
        <v>151.81441721599992</v>
      </c>
      <c r="U18" s="215">
        <v>163.38698705600004</v>
      </c>
      <c r="V18" s="215">
        <v>148.84032562700014</v>
      </c>
    </row>
    <row r="19" spans="2:22" x14ac:dyDescent="0.2">
      <c r="B19" s="204">
        <f>B18+1</f>
        <v>9</v>
      </c>
      <c r="C19" s="205" t="s">
        <v>313</v>
      </c>
      <c r="D19" s="207" t="s">
        <v>433</v>
      </c>
      <c r="E19" s="215">
        <v>0.37681737800000104</v>
      </c>
      <c r="F19" s="215">
        <v>-1.7181847877959997</v>
      </c>
      <c r="G19" s="215">
        <v>-1.0709908590000001</v>
      </c>
      <c r="H19" s="215">
        <v>-1.4173476940000005</v>
      </c>
      <c r="I19" s="215">
        <v>-0.82910575299999878</v>
      </c>
      <c r="J19" s="215">
        <v>-1.8754054629999992</v>
      </c>
      <c r="K19" s="215">
        <v>-9.4216008510000613</v>
      </c>
      <c r="L19" s="215">
        <v>-2.6391305930000057</v>
      </c>
      <c r="M19" s="215">
        <v>-1.6771659270000006</v>
      </c>
      <c r="N19" s="215">
        <v>-0.41933522200000078</v>
      </c>
      <c r="O19" s="215">
        <v>-1.8712688380000011</v>
      </c>
      <c r="P19" s="215">
        <v>-2.1939293560000261</v>
      </c>
      <c r="Q19" s="215">
        <v>-7.4910845470000114</v>
      </c>
      <c r="R19" s="215">
        <v>-5.7356386810000117</v>
      </c>
      <c r="S19" s="215">
        <v>-5.5597983079999977</v>
      </c>
      <c r="T19" s="215">
        <v>-1.8754372710000022</v>
      </c>
      <c r="U19" s="215">
        <v>-5.1896310999999938E-2</v>
      </c>
      <c r="V19" s="215">
        <v>-1.9437714800000001</v>
      </c>
    </row>
    <row r="20" spans="2:22" x14ac:dyDescent="0.2">
      <c r="B20" s="204">
        <f>B19+1</f>
        <v>10</v>
      </c>
      <c r="C20" s="205" t="s">
        <v>314</v>
      </c>
      <c r="D20" s="207" t="s">
        <v>433</v>
      </c>
      <c r="E20" s="215">
        <v>1.6637658696749047</v>
      </c>
      <c r="F20" s="215">
        <v>1.682885770763255</v>
      </c>
      <c r="G20" s="215">
        <v>1.7158326653399243</v>
      </c>
      <c r="H20" s="215">
        <v>1.513907221870886</v>
      </c>
      <c r="I20" s="215">
        <v>1.624072819</v>
      </c>
      <c r="J20" s="215">
        <v>1.6136152983940177</v>
      </c>
      <c r="K20" s="215">
        <v>1.8493260259429722</v>
      </c>
      <c r="L20" s="215">
        <v>1.597262334622537</v>
      </c>
      <c r="M20" s="215">
        <v>1.6831195306251303</v>
      </c>
      <c r="N20" s="215">
        <v>1.8015083372107159</v>
      </c>
      <c r="O20" s="215">
        <v>1.9745441836295758</v>
      </c>
      <c r="P20" s="215">
        <v>1.9393820326949871</v>
      </c>
      <c r="Q20" s="215">
        <v>1.6781847885622256</v>
      </c>
      <c r="R20" s="215">
        <v>1.6862480934545547</v>
      </c>
      <c r="S20" s="215">
        <v>1.7123036958126523</v>
      </c>
      <c r="T20" s="215">
        <v>1.6682329152704316</v>
      </c>
      <c r="U20" s="215">
        <v>1.6681047848335941</v>
      </c>
      <c r="V20" s="215">
        <v>1.6556388966737468</v>
      </c>
    </row>
    <row r="21" spans="2:22" ht="15" x14ac:dyDescent="0.2">
      <c r="B21" s="204">
        <f>B20+1</f>
        <v>11</v>
      </c>
      <c r="C21" s="205" t="s">
        <v>315</v>
      </c>
      <c r="D21" s="207" t="s">
        <v>433</v>
      </c>
      <c r="E21" s="216">
        <f>E18+E19+E20</f>
        <v>183.71101274967489</v>
      </c>
      <c r="F21" s="216">
        <f t="shared" ref="F21:V21" si="2">F18+F19+F20</f>
        <v>192.92453341896726</v>
      </c>
      <c r="G21" s="216">
        <f t="shared" si="2"/>
        <v>202.01502153833991</v>
      </c>
      <c r="H21" s="216">
        <f t="shared" si="2"/>
        <v>153.63572377287088</v>
      </c>
      <c r="I21" s="216">
        <f t="shared" si="2"/>
        <v>163.38852133200419</v>
      </c>
      <c r="J21" s="216">
        <f t="shared" si="2"/>
        <v>179.70783019839402</v>
      </c>
      <c r="K21" s="216">
        <f t="shared" si="2"/>
        <v>193.60806844194292</v>
      </c>
      <c r="L21" s="216">
        <f t="shared" si="2"/>
        <v>153.68805738562253</v>
      </c>
      <c r="M21" s="216">
        <f t="shared" si="2"/>
        <v>136.90763126462514</v>
      </c>
      <c r="N21" s="216">
        <f t="shared" si="2"/>
        <v>173.04161016821072</v>
      </c>
      <c r="O21" s="216">
        <f t="shared" si="2"/>
        <v>188.81541784262959</v>
      </c>
      <c r="P21" s="216">
        <f t="shared" si="2"/>
        <v>226.04039204869497</v>
      </c>
      <c r="Q21" s="216">
        <f t="shared" si="2"/>
        <v>159.95111808656233</v>
      </c>
      <c r="R21" s="216">
        <f t="shared" si="2"/>
        <v>168.80534866845474</v>
      </c>
      <c r="S21" s="216">
        <f t="shared" si="2"/>
        <v>163.54252111781258</v>
      </c>
      <c r="T21" s="216">
        <f t="shared" si="2"/>
        <v>151.60721286027035</v>
      </c>
      <c r="U21" s="216">
        <f t="shared" si="2"/>
        <v>165.00319552983362</v>
      </c>
      <c r="V21" s="216">
        <f t="shared" si="2"/>
        <v>148.55219304367387</v>
      </c>
    </row>
    <row r="22" spans="2:22" ht="15" x14ac:dyDescent="0.2">
      <c r="B22" s="200" t="s">
        <v>316</v>
      </c>
      <c r="C22" s="203" t="s">
        <v>317</v>
      </c>
      <c r="D22" s="204"/>
      <c r="E22" s="217"/>
      <c r="F22" s="217"/>
      <c r="G22" s="217"/>
      <c r="H22" s="217"/>
      <c r="I22" s="217"/>
      <c r="J22" s="217"/>
      <c r="K22" s="217"/>
      <c r="L22" s="217"/>
      <c r="M22" s="217"/>
      <c r="N22" s="217"/>
      <c r="O22" s="217"/>
      <c r="P22" s="217"/>
      <c r="Q22" s="217"/>
      <c r="R22" s="217"/>
      <c r="S22" s="217"/>
      <c r="T22" s="217"/>
      <c r="U22" s="217"/>
      <c r="V22" s="217"/>
    </row>
    <row r="23" spans="2:22" x14ac:dyDescent="0.2">
      <c r="B23" s="204">
        <f>B21+1</f>
        <v>12</v>
      </c>
      <c r="C23" s="205" t="s">
        <v>318</v>
      </c>
      <c r="D23" s="204"/>
      <c r="E23" s="217"/>
      <c r="F23" s="217"/>
      <c r="G23" s="217"/>
      <c r="H23" s="217"/>
      <c r="I23" s="217"/>
      <c r="J23" s="217"/>
      <c r="K23" s="217"/>
      <c r="L23" s="217"/>
      <c r="M23" s="217"/>
      <c r="N23" s="217"/>
      <c r="O23" s="217"/>
      <c r="P23" s="217"/>
      <c r="Q23" s="217"/>
      <c r="R23" s="217"/>
      <c r="S23" s="217"/>
      <c r="T23" s="217"/>
      <c r="U23" s="217"/>
      <c r="V23" s="217"/>
    </row>
    <row r="24" spans="2:22" x14ac:dyDescent="0.2">
      <c r="B24" s="204"/>
      <c r="C24" s="205" t="s">
        <v>319</v>
      </c>
      <c r="D24" s="207" t="s">
        <v>433</v>
      </c>
      <c r="E24" s="215"/>
      <c r="F24" s="215"/>
      <c r="G24" s="215"/>
      <c r="H24" s="215"/>
      <c r="I24" s="215"/>
      <c r="J24" s="215"/>
      <c r="K24" s="215"/>
      <c r="L24" s="215"/>
      <c r="M24" s="215"/>
      <c r="N24" s="215"/>
      <c r="O24" s="215"/>
      <c r="P24" s="215"/>
      <c r="Q24" s="215"/>
      <c r="R24" s="215"/>
      <c r="S24" s="215"/>
      <c r="T24" s="215"/>
      <c r="U24" s="215"/>
      <c r="V24" s="215"/>
    </row>
    <row r="25" spans="2:22" x14ac:dyDescent="0.2">
      <c r="B25" s="204"/>
      <c r="C25" s="205" t="s">
        <v>320</v>
      </c>
      <c r="D25" s="207" t="s">
        <v>433</v>
      </c>
      <c r="E25" s="217">
        <v>7.3897132013720004</v>
      </c>
      <c r="F25" s="217">
        <v>7.2451168670279964</v>
      </c>
      <c r="G25" s="217">
        <v>7.9814254043644945</v>
      </c>
      <c r="H25" s="217">
        <v>5.7806555599719935</v>
      </c>
      <c r="I25" s="217">
        <v>6.7866244706610024</v>
      </c>
      <c r="J25" s="217">
        <v>7.0499516864189982</v>
      </c>
      <c r="K25" s="217">
        <v>7.6918225115629957</v>
      </c>
      <c r="L25" s="217">
        <v>6.3889981986080011</v>
      </c>
      <c r="M25" s="217">
        <v>5.8905449639330003</v>
      </c>
      <c r="N25" s="217">
        <v>7.345833980017999</v>
      </c>
      <c r="O25" s="217">
        <v>7.7690752114480031</v>
      </c>
      <c r="P25" s="217">
        <v>8.9130802311600004</v>
      </c>
      <c r="Q25" s="217">
        <v>7.2350644377100002</v>
      </c>
      <c r="R25" s="217">
        <v>7.3836757357889962</v>
      </c>
      <c r="S25" s="217">
        <v>7.2513245721530017</v>
      </c>
      <c r="T25" s="217">
        <v>6.3907696760329973</v>
      </c>
      <c r="U25" s="217">
        <v>6.8315255727519961</v>
      </c>
      <c r="V25" s="217">
        <v>6.6003505156855011</v>
      </c>
    </row>
    <row r="26" spans="2:22" x14ac:dyDescent="0.2">
      <c r="B26" s="204"/>
      <c r="C26" s="205" t="s">
        <v>321</v>
      </c>
      <c r="D26" s="207" t="s">
        <v>433</v>
      </c>
      <c r="E26" s="217"/>
      <c r="F26" s="217"/>
      <c r="G26" s="217"/>
      <c r="H26" s="217"/>
      <c r="I26" s="217"/>
      <c r="J26" s="217"/>
      <c r="K26" s="217"/>
      <c r="L26" s="217"/>
      <c r="M26" s="217"/>
      <c r="N26" s="217"/>
      <c r="O26" s="217"/>
      <c r="P26" s="217"/>
      <c r="Q26" s="217"/>
      <c r="R26" s="217"/>
      <c r="S26" s="217"/>
      <c r="T26" s="217"/>
      <c r="U26" s="217"/>
      <c r="V26" s="217"/>
    </row>
    <row r="27" spans="2:22" x14ac:dyDescent="0.2">
      <c r="B27" s="204"/>
      <c r="C27" s="205" t="s">
        <v>9</v>
      </c>
      <c r="D27" s="207" t="s">
        <v>433</v>
      </c>
      <c r="E27" s="217"/>
      <c r="F27" s="217"/>
      <c r="G27" s="217"/>
      <c r="H27" s="217"/>
      <c r="I27" s="217"/>
      <c r="J27" s="217"/>
      <c r="K27" s="217"/>
      <c r="L27" s="217"/>
      <c r="M27" s="217"/>
      <c r="N27" s="217"/>
      <c r="O27" s="217"/>
      <c r="P27" s="217"/>
      <c r="Q27" s="217"/>
      <c r="R27" s="217"/>
      <c r="S27" s="217"/>
      <c r="T27" s="217"/>
      <c r="U27" s="217"/>
      <c r="V27" s="217"/>
    </row>
    <row r="28" spans="2:22" x14ac:dyDescent="0.2">
      <c r="B28" s="204">
        <f>B23+1</f>
        <v>13</v>
      </c>
      <c r="C28" s="205" t="s">
        <v>322</v>
      </c>
      <c r="D28" s="207" t="s">
        <v>433</v>
      </c>
      <c r="E28" s="217"/>
      <c r="F28" s="217"/>
      <c r="G28" s="217"/>
      <c r="H28" s="217"/>
      <c r="I28" s="217"/>
      <c r="J28" s="217"/>
      <c r="K28" s="217"/>
      <c r="L28" s="217"/>
      <c r="M28" s="217"/>
      <c r="N28" s="217"/>
      <c r="O28" s="217"/>
      <c r="P28" s="217"/>
      <c r="Q28" s="217"/>
      <c r="R28" s="217"/>
      <c r="S28" s="217"/>
      <c r="T28" s="217"/>
      <c r="U28" s="217"/>
      <c r="V28" s="217"/>
    </row>
    <row r="29" spans="2:22" x14ac:dyDescent="0.2">
      <c r="B29" s="204">
        <f>B28+1</f>
        <v>14</v>
      </c>
      <c r="C29" s="205" t="s">
        <v>323</v>
      </c>
      <c r="D29" s="207" t="s">
        <v>433</v>
      </c>
      <c r="E29" s="217"/>
      <c r="F29" s="217"/>
      <c r="G29" s="217"/>
      <c r="H29" s="217"/>
      <c r="I29" s="217"/>
      <c r="J29" s="217"/>
      <c r="K29" s="217"/>
      <c r="L29" s="217"/>
      <c r="M29" s="217"/>
      <c r="N29" s="217"/>
      <c r="O29" s="217"/>
      <c r="P29" s="217"/>
      <c r="Q29" s="217"/>
      <c r="R29" s="217"/>
      <c r="S29" s="217"/>
      <c r="T29" s="217"/>
      <c r="U29" s="217"/>
      <c r="V29" s="217"/>
    </row>
    <row r="30" spans="2:22" ht="28.5" x14ac:dyDescent="0.2">
      <c r="B30" s="204">
        <f>B29+1</f>
        <v>15</v>
      </c>
      <c r="C30" s="218" t="s">
        <v>392</v>
      </c>
      <c r="D30" s="207" t="s">
        <v>433</v>
      </c>
      <c r="E30" s="217"/>
      <c r="F30" s="217"/>
      <c r="G30" s="217"/>
      <c r="H30" s="217"/>
      <c r="I30" s="217"/>
      <c r="J30" s="217"/>
      <c r="K30" s="217"/>
      <c r="L30" s="217"/>
      <c r="M30" s="217"/>
      <c r="N30" s="217"/>
      <c r="O30" s="217"/>
      <c r="P30" s="217"/>
      <c r="Q30" s="217"/>
      <c r="R30" s="217"/>
      <c r="S30" s="217"/>
      <c r="T30" s="217"/>
      <c r="U30" s="217"/>
      <c r="V30" s="217"/>
    </row>
    <row r="31" spans="2:22" x14ac:dyDescent="0.2">
      <c r="B31" s="204">
        <f>B30+1</f>
        <v>16</v>
      </c>
      <c r="C31" s="218" t="s">
        <v>324</v>
      </c>
      <c r="D31" s="207" t="s">
        <v>433</v>
      </c>
      <c r="E31" s="215">
        <f>SUM(E25:E30)</f>
        <v>7.3897132013720004</v>
      </c>
      <c r="F31" s="215">
        <f t="shared" ref="F31:V31" si="3">SUM(F25:F30)</f>
        <v>7.2451168670279964</v>
      </c>
      <c r="G31" s="215">
        <f t="shared" si="3"/>
        <v>7.9814254043644945</v>
      </c>
      <c r="H31" s="215">
        <f t="shared" si="3"/>
        <v>5.7806555599719935</v>
      </c>
      <c r="I31" s="215">
        <f t="shared" si="3"/>
        <v>6.7866244706610024</v>
      </c>
      <c r="J31" s="215">
        <f t="shared" si="3"/>
        <v>7.0499516864189982</v>
      </c>
      <c r="K31" s="215">
        <f t="shared" si="3"/>
        <v>7.6918225115629957</v>
      </c>
      <c r="L31" s="215">
        <f t="shared" si="3"/>
        <v>6.3889981986080011</v>
      </c>
      <c r="M31" s="215">
        <f t="shared" si="3"/>
        <v>5.8905449639330003</v>
      </c>
      <c r="N31" s="215">
        <f t="shared" si="3"/>
        <v>7.345833980017999</v>
      </c>
      <c r="O31" s="215">
        <f t="shared" si="3"/>
        <v>7.7690752114480031</v>
      </c>
      <c r="P31" s="215">
        <f t="shared" si="3"/>
        <v>8.9130802311600004</v>
      </c>
      <c r="Q31" s="215">
        <f t="shared" si="3"/>
        <v>7.2350644377100002</v>
      </c>
      <c r="R31" s="215">
        <f t="shared" si="3"/>
        <v>7.3836757357889962</v>
      </c>
      <c r="S31" s="215">
        <f t="shared" si="3"/>
        <v>7.2513245721530017</v>
      </c>
      <c r="T31" s="215">
        <f t="shared" si="3"/>
        <v>6.3907696760329973</v>
      </c>
      <c r="U31" s="215">
        <f t="shared" si="3"/>
        <v>6.8315255727519961</v>
      </c>
      <c r="V31" s="215">
        <f t="shared" si="3"/>
        <v>6.6003505156855011</v>
      </c>
    </row>
    <row r="32" spans="2:22" ht="28.5" x14ac:dyDescent="0.2">
      <c r="B32" s="204">
        <f>B31+1</f>
        <v>17</v>
      </c>
      <c r="C32" s="218" t="s">
        <v>325</v>
      </c>
      <c r="D32" s="207" t="s">
        <v>433</v>
      </c>
      <c r="E32" s="216">
        <f>E21+E31</f>
        <v>191.10072595104688</v>
      </c>
      <c r="F32" s="216">
        <f t="shared" ref="F32:V32" si="4">F21+F31</f>
        <v>200.16965028599526</v>
      </c>
      <c r="G32" s="216">
        <f t="shared" si="4"/>
        <v>209.99644694270441</v>
      </c>
      <c r="H32" s="216">
        <f t="shared" si="4"/>
        <v>159.41637933284287</v>
      </c>
      <c r="I32" s="216">
        <f t="shared" si="4"/>
        <v>170.17514580266518</v>
      </c>
      <c r="J32" s="216">
        <f t="shared" si="4"/>
        <v>186.75778188481303</v>
      </c>
      <c r="K32" s="216">
        <f t="shared" si="4"/>
        <v>201.29989095350592</v>
      </c>
      <c r="L32" s="216">
        <f t="shared" si="4"/>
        <v>160.07705558423052</v>
      </c>
      <c r="M32" s="216">
        <f t="shared" si="4"/>
        <v>142.79817622855813</v>
      </c>
      <c r="N32" s="216">
        <f t="shared" si="4"/>
        <v>180.38744414822872</v>
      </c>
      <c r="O32" s="216">
        <f t="shared" si="4"/>
        <v>196.5844930540776</v>
      </c>
      <c r="P32" s="216">
        <f t="shared" si="4"/>
        <v>234.95347227985496</v>
      </c>
      <c r="Q32" s="216">
        <f t="shared" si="4"/>
        <v>167.18618252427234</v>
      </c>
      <c r="R32" s="216">
        <f t="shared" si="4"/>
        <v>176.18902440424372</v>
      </c>
      <c r="S32" s="216">
        <f t="shared" si="4"/>
        <v>170.79384568996559</v>
      </c>
      <c r="T32" s="216">
        <f t="shared" si="4"/>
        <v>157.99798253630334</v>
      </c>
      <c r="U32" s="216">
        <f t="shared" si="4"/>
        <v>171.8347211025856</v>
      </c>
      <c r="V32" s="216">
        <f t="shared" si="4"/>
        <v>155.15254355935937</v>
      </c>
    </row>
    <row r="33" spans="2:22" ht="15" x14ac:dyDescent="0.2">
      <c r="B33" s="200" t="s">
        <v>326</v>
      </c>
      <c r="C33" s="203" t="s">
        <v>189</v>
      </c>
      <c r="D33" s="204"/>
      <c r="E33" s="217"/>
      <c r="F33" s="217"/>
      <c r="G33" s="217"/>
      <c r="H33" s="217"/>
      <c r="I33" s="217"/>
      <c r="J33" s="217"/>
      <c r="K33" s="217"/>
      <c r="L33" s="217"/>
      <c r="M33" s="217"/>
      <c r="N33" s="217"/>
      <c r="O33" s="217"/>
      <c r="P33" s="217"/>
      <c r="Q33" s="217"/>
      <c r="R33" s="217"/>
      <c r="S33" s="217"/>
      <c r="T33" s="217"/>
      <c r="U33" s="217"/>
      <c r="V33" s="217"/>
    </row>
    <row r="34" spans="2:22" ht="15" x14ac:dyDescent="0.2">
      <c r="B34" s="204">
        <f>B32+1</f>
        <v>18</v>
      </c>
      <c r="C34" s="218" t="s">
        <v>327</v>
      </c>
      <c r="D34" s="204" t="s">
        <v>328</v>
      </c>
      <c r="E34" s="216">
        <f>IFERROR((E10+E32)/(E9+E16)*10000000,0)</f>
        <v>5518.5601671272143</v>
      </c>
      <c r="F34" s="216">
        <f t="shared" ref="F34:V34" si="5">IFERROR((F10+F32)/(F9+F16)*10000000,0)</f>
        <v>5645.5506693320485</v>
      </c>
      <c r="G34" s="216">
        <f t="shared" si="5"/>
        <v>5682.4375841023948</v>
      </c>
      <c r="H34" s="216">
        <f t="shared" si="5"/>
        <v>5731.8825157781494</v>
      </c>
      <c r="I34" s="216">
        <f t="shared" si="5"/>
        <v>5772.7798809224641</v>
      </c>
      <c r="J34" s="216">
        <f t="shared" si="5"/>
        <v>5705.6808456898552</v>
      </c>
      <c r="K34" s="216">
        <f t="shared" si="5"/>
        <v>5507.2613553910214</v>
      </c>
      <c r="L34" s="216">
        <f>IFERROR((L10+L32)/(L9+L16)*10000000,0)</f>
        <v>5685.7472618012462</v>
      </c>
      <c r="M34" s="216">
        <f t="shared" si="5"/>
        <v>5857.7165308433814</v>
      </c>
      <c r="N34" s="216">
        <f t="shared" si="5"/>
        <v>5958.3627095227366</v>
      </c>
      <c r="O34" s="216">
        <f>IFERROR((O10+O32)/(O9+O16)*10000000,0)</f>
        <v>5884.4874056405552</v>
      </c>
      <c r="P34" s="216">
        <f t="shared" si="5"/>
        <v>5811.8737783800652</v>
      </c>
      <c r="Q34" s="216">
        <f t="shared" si="5"/>
        <v>5449.2692147518273</v>
      </c>
      <c r="R34" s="216">
        <f t="shared" si="5"/>
        <v>5233.9133727464323</v>
      </c>
      <c r="S34" s="216">
        <f>IFERROR((S10+S32)/(S9+S16)*10000000,0)</f>
        <v>5191.6615521179565</v>
      </c>
      <c r="T34" s="216">
        <f t="shared" si="5"/>
        <v>5272.7178384985727</v>
      </c>
      <c r="U34" s="216">
        <f>IFERROR((U10+U32)/(U9+U16)*10000000,0)</f>
        <v>5200.8317767635572</v>
      </c>
      <c r="V34" s="216">
        <f t="shared" si="5"/>
        <v>5017.2549877153606</v>
      </c>
    </row>
    <row r="35" spans="2:22" x14ac:dyDescent="0.2">
      <c r="B35" s="204">
        <f>B34+1</f>
        <v>19</v>
      </c>
      <c r="C35" s="218" t="s">
        <v>329</v>
      </c>
      <c r="D35" s="204"/>
      <c r="E35" s="217"/>
      <c r="F35" s="217"/>
      <c r="G35" s="217"/>
      <c r="H35" s="217"/>
      <c r="I35" s="217"/>
      <c r="J35" s="217"/>
      <c r="K35" s="217"/>
      <c r="L35" s="217"/>
      <c r="M35" s="217"/>
      <c r="N35" s="217"/>
      <c r="O35" s="217"/>
      <c r="P35" s="217"/>
      <c r="Q35" s="217"/>
      <c r="R35" s="217"/>
      <c r="S35" s="217"/>
      <c r="T35" s="217"/>
      <c r="U35" s="217"/>
      <c r="V35" s="217"/>
    </row>
    <row r="36" spans="2:22" x14ac:dyDescent="0.2">
      <c r="B36" s="204">
        <f>B35+1</f>
        <v>20</v>
      </c>
      <c r="C36" s="218" t="s">
        <v>330</v>
      </c>
      <c r="D36" s="204" t="s">
        <v>328</v>
      </c>
      <c r="E36" s="217"/>
      <c r="F36" s="217"/>
      <c r="G36" s="217"/>
      <c r="H36" s="217"/>
      <c r="I36" s="217"/>
      <c r="J36" s="217"/>
      <c r="K36" s="217"/>
      <c r="L36" s="217"/>
      <c r="M36" s="217"/>
      <c r="N36" s="217"/>
      <c r="O36" s="217"/>
      <c r="P36" s="217"/>
      <c r="Q36" s="217"/>
      <c r="R36" s="217"/>
      <c r="S36" s="217"/>
      <c r="T36" s="217"/>
      <c r="U36" s="217"/>
      <c r="V36" s="217"/>
    </row>
    <row r="37" spans="2:22" ht="15" x14ac:dyDescent="0.2">
      <c r="B37" s="200" t="s">
        <v>331</v>
      </c>
      <c r="C37" s="203" t="s">
        <v>332</v>
      </c>
      <c r="D37" s="204"/>
      <c r="E37" s="217"/>
      <c r="F37" s="217"/>
      <c r="G37" s="217"/>
      <c r="H37" s="217"/>
      <c r="I37" s="217"/>
      <c r="J37" s="217"/>
      <c r="K37" s="217"/>
      <c r="L37" s="217"/>
      <c r="M37" s="217"/>
      <c r="N37" s="217"/>
      <c r="O37" s="217"/>
      <c r="P37" s="217"/>
      <c r="Q37" s="217"/>
      <c r="R37" s="217"/>
      <c r="S37" s="217"/>
      <c r="T37" s="217"/>
      <c r="U37" s="217"/>
      <c r="V37" s="217"/>
    </row>
    <row r="38" spans="2:22" ht="28.5" x14ac:dyDescent="0.2">
      <c r="B38" s="204">
        <f>B36+1</f>
        <v>21</v>
      </c>
      <c r="C38" s="218" t="s">
        <v>391</v>
      </c>
      <c r="D38" s="204" t="s">
        <v>333</v>
      </c>
      <c r="E38" s="217"/>
      <c r="F38" s="217"/>
      <c r="G38" s="217"/>
      <c r="H38" s="217"/>
      <c r="I38" s="217"/>
      <c r="J38" s="217"/>
      <c r="K38" s="217"/>
      <c r="L38" s="217"/>
      <c r="M38" s="217"/>
      <c r="N38" s="217"/>
      <c r="O38" s="217"/>
      <c r="P38" s="217"/>
      <c r="Q38" s="217"/>
      <c r="R38" s="217"/>
      <c r="S38" s="217"/>
      <c r="T38" s="217"/>
      <c r="U38" s="217"/>
      <c r="V38" s="217"/>
    </row>
    <row r="39" spans="2:22" ht="28.5" x14ac:dyDescent="0.2">
      <c r="B39" s="204">
        <f>B38+1</f>
        <v>22</v>
      </c>
      <c r="C39" s="218" t="s">
        <v>334</v>
      </c>
      <c r="D39" s="204" t="s">
        <v>333</v>
      </c>
      <c r="E39" s="217"/>
      <c r="F39" s="217"/>
      <c r="G39" s="217"/>
      <c r="H39" s="217"/>
      <c r="I39" s="217"/>
      <c r="J39" s="217"/>
      <c r="K39" s="217"/>
      <c r="L39" s="217"/>
      <c r="M39" s="217"/>
      <c r="N39" s="217"/>
      <c r="O39" s="217"/>
      <c r="P39" s="217"/>
      <c r="Q39" s="217"/>
      <c r="R39" s="217"/>
      <c r="S39" s="217"/>
      <c r="T39" s="217"/>
      <c r="U39" s="217"/>
      <c r="V39" s="217"/>
    </row>
    <row r="40" spans="2:22" ht="28.5" x14ac:dyDescent="0.2">
      <c r="B40" s="204">
        <f t="shared" ref="B40:B47" si="6">B39+1</f>
        <v>23</v>
      </c>
      <c r="C40" s="218" t="s">
        <v>390</v>
      </c>
      <c r="D40" s="204" t="s">
        <v>333</v>
      </c>
      <c r="E40" s="217"/>
      <c r="F40" s="217"/>
      <c r="G40" s="217"/>
      <c r="H40" s="217"/>
      <c r="I40" s="217"/>
      <c r="J40" s="217"/>
      <c r="K40" s="217"/>
      <c r="L40" s="217"/>
      <c r="M40" s="217"/>
      <c r="N40" s="217"/>
      <c r="O40" s="217"/>
      <c r="P40" s="217"/>
      <c r="Q40" s="217"/>
      <c r="R40" s="217"/>
      <c r="S40" s="217"/>
      <c r="T40" s="217"/>
      <c r="U40" s="217"/>
      <c r="V40" s="217"/>
    </row>
    <row r="41" spans="2:22" x14ac:dyDescent="0.2">
      <c r="B41" s="204">
        <f t="shared" si="6"/>
        <v>24</v>
      </c>
      <c r="C41" s="218" t="s">
        <v>335</v>
      </c>
      <c r="D41" s="204" t="s">
        <v>333</v>
      </c>
      <c r="E41" s="217"/>
      <c r="F41" s="217"/>
      <c r="G41" s="217"/>
      <c r="H41" s="217"/>
      <c r="I41" s="217"/>
      <c r="J41" s="217"/>
      <c r="K41" s="217"/>
      <c r="L41" s="217"/>
      <c r="M41" s="217"/>
      <c r="N41" s="217"/>
      <c r="O41" s="217"/>
      <c r="P41" s="217"/>
      <c r="Q41" s="217"/>
      <c r="R41" s="217"/>
      <c r="S41" s="217"/>
      <c r="T41" s="217"/>
      <c r="U41" s="217"/>
      <c r="V41" s="217"/>
    </row>
    <row r="42" spans="2:22" x14ac:dyDescent="0.2">
      <c r="B42" s="204">
        <f t="shared" si="6"/>
        <v>25</v>
      </c>
      <c r="C42" s="218" t="s">
        <v>336</v>
      </c>
      <c r="D42" s="204" t="s">
        <v>333</v>
      </c>
      <c r="E42" s="219">
        <v>4575.09</v>
      </c>
      <c r="F42" s="219">
        <v>4551.2700000000004</v>
      </c>
      <c r="G42" s="219">
        <v>4582.7</v>
      </c>
      <c r="H42" s="219">
        <v>4515.76</v>
      </c>
      <c r="I42" s="219">
        <v>4585.46</v>
      </c>
      <c r="J42" s="219">
        <v>4518.12</v>
      </c>
      <c r="K42" s="219">
        <v>4266.5200000000004</v>
      </c>
      <c r="L42" s="219">
        <v>4470.07</v>
      </c>
      <c r="M42" s="219">
        <v>4594.1400000000003</v>
      </c>
      <c r="N42" s="219">
        <v>4639.79</v>
      </c>
      <c r="O42" s="219">
        <v>4577.3500000000004</v>
      </c>
      <c r="P42" s="219">
        <v>4615.4799999999996</v>
      </c>
      <c r="Q42" s="220">
        <v>4444.5</v>
      </c>
      <c r="R42" s="220">
        <v>4439.42</v>
      </c>
      <c r="S42" s="220">
        <v>4588.37</v>
      </c>
      <c r="T42" s="220">
        <v>4672</v>
      </c>
      <c r="U42" s="220">
        <v>4507</v>
      </c>
      <c r="V42" s="220">
        <v>4546</v>
      </c>
    </row>
    <row r="43" spans="2:22" ht="28.5" x14ac:dyDescent="0.2">
      <c r="B43" s="204">
        <f t="shared" si="6"/>
        <v>26</v>
      </c>
      <c r="C43" s="218" t="s">
        <v>389</v>
      </c>
      <c r="D43" s="204" t="s">
        <v>333</v>
      </c>
      <c r="E43" s="221">
        <v>4019</v>
      </c>
      <c r="F43" s="221">
        <v>4062.4619663231638</v>
      </c>
      <c r="G43" s="221">
        <v>3942.7461381656449</v>
      </c>
      <c r="H43" s="221">
        <v>3889.9826278452874</v>
      </c>
      <c r="I43" s="221">
        <v>3861.7170561355133</v>
      </c>
      <c r="J43" s="221">
        <v>3907.8144301348239</v>
      </c>
      <c r="K43" s="221">
        <v>3935.2898358146808</v>
      </c>
      <c r="L43" s="221">
        <v>3827.504576779394</v>
      </c>
      <c r="M43" s="221">
        <v>3928.3852237559186</v>
      </c>
      <c r="N43" s="221">
        <v>4048.5747900679016</v>
      </c>
      <c r="O43" s="221">
        <v>4093.9168814692557</v>
      </c>
      <c r="P43" s="221">
        <v>4034.1153767238893</v>
      </c>
      <c r="Q43" s="217"/>
      <c r="R43" s="217"/>
      <c r="S43" s="217"/>
      <c r="T43" s="217"/>
      <c r="U43" s="217"/>
      <c r="V43" s="217"/>
    </row>
    <row r="44" spans="2:22" x14ac:dyDescent="0.2">
      <c r="B44" s="204">
        <f t="shared" si="6"/>
        <v>27</v>
      </c>
      <c r="C44" s="218" t="s">
        <v>337</v>
      </c>
      <c r="D44" s="204" t="s">
        <v>333</v>
      </c>
      <c r="E44" s="221">
        <v>4110</v>
      </c>
      <c r="F44" s="221">
        <v>3830</v>
      </c>
      <c r="G44" s="221">
        <v>3850</v>
      </c>
      <c r="H44" s="221">
        <v>3836</v>
      </c>
      <c r="I44" s="221">
        <v>3952</v>
      </c>
      <c r="J44" s="221">
        <v>3960</v>
      </c>
      <c r="K44" s="221">
        <v>3748</v>
      </c>
      <c r="L44" s="221">
        <v>4042</v>
      </c>
      <c r="M44" s="221">
        <v>4226</v>
      </c>
      <c r="N44" s="221">
        <v>4158</v>
      </c>
      <c r="O44" s="221">
        <v>3966</v>
      </c>
      <c r="P44" s="221">
        <v>3979</v>
      </c>
      <c r="Q44" s="217"/>
      <c r="R44" s="217"/>
      <c r="S44" s="217"/>
      <c r="T44" s="217"/>
      <c r="U44" s="217"/>
      <c r="V44" s="217"/>
    </row>
    <row r="45" spans="2:22" ht="28.5" x14ac:dyDescent="0.2">
      <c r="B45" s="204">
        <f t="shared" si="6"/>
        <v>28</v>
      </c>
      <c r="C45" s="218" t="s">
        <v>338</v>
      </c>
      <c r="D45" s="204" t="s">
        <v>333</v>
      </c>
      <c r="E45" s="221"/>
      <c r="F45" s="221"/>
      <c r="G45" s="221"/>
      <c r="H45" s="221"/>
      <c r="I45" s="221"/>
      <c r="J45" s="221"/>
      <c r="K45" s="221"/>
      <c r="L45" s="221"/>
      <c r="M45" s="221"/>
      <c r="N45" s="221"/>
      <c r="O45" s="221"/>
      <c r="P45" s="221"/>
      <c r="Q45" s="217"/>
      <c r="R45" s="217"/>
      <c r="S45" s="217"/>
      <c r="T45" s="217"/>
      <c r="U45" s="217"/>
      <c r="V45" s="217"/>
    </row>
    <row r="46" spans="2:22" ht="28.5" x14ac:dyDescent="0.2">
      <c r="B46" s="204">
        <f t="shared" si="6"/>
        <v>29</v>
      </c>
      <c r="C46" s="218" t="s">
        <v>338</v>
      </c>
      <c r="D46" s="204" t="s">
        <v>333</v>
      </c>
      <c r="E46" s="221"/>
      <c r="F46" s="221"/>
      <c r="G46" s="221"/>
      <c r="H46" s="221"/>
      <c r="I46" s="221"/>
      <c r="J46" s="221"/>
      <c r="K46" s="221"/>
      <c r="L46" s="221"/>
      <c r="M46" s="221"/>
      <c r="N46" s="221"/>
      <c r="O46" s="221"/>
      <c r="P46" s="221"/>
      <c r="Q46" s="217"/>
      <c r="R46" s="217"/>
      <c r="S46" s="217"/>
      <c r="T46" s="217"/>
      <c r="U46" s="217"/>
      <c r="V46" s="217"/>
    </row>
    <row r="47" spans="2:22" x14ac:dyDescent="0.2">
      <c r="B47" s="204">
        <f t="shared" si="6"/>
        <v>30</v>
      </c>
      <c r="C47" s="218" t="s">
        <v>339</v>
      </c>
      <c r="D47" s="204" t="s">
        <v>333</v>
      </c>
      <c r="E47" s="219">
        <v>4062.4619663231638</v>
      </c>
      <c r="F47" s="219">
        <v>3942.7461381656449</v>
      </c>
      <c r="G47" s="219">
        <v>3889.9826278452874</v>
      </c>
      <c r="H47" s="219">
        <v>3861.7170561355133</v>
      </c>
      <c r="I47" s="219">
        <v>3907.8144301348239</v>
      </c>
      <c r="J47" s="219">
        <v>3935.2898358146808</v>
      </c>
      <c r="K47" s="219">
        <v>3827.504576779394</v>
      </c>
      <c r="L47" s="219">
        <v>3928.3852237559186</v>
      </c>
      <c r="M47" s="219">
        <v>4048.5747900679016</v>
      </c>
      <c r="N47" s="219">
        <v>4093.9168814692557</v>
      </c>
      <c r="O47" s="219">
        <v>4034.1153767238893</v>
      </c>
      <c r="P47" s="219">
        <v>4003.8585748818764</v>
      </c>
      <c r="Q47" s="220">
        <v>3905</v>
      </c>
      <c r="R47" s="220">
        <v>3799</v>
      </c>
      <c r="S47" s="220">
        <v>4543.75</v>
      </c>
      <c r="T47" s="220">
        <v>4403</v>
      </c>
      <c r="U47" s="220">
        <v>3995</v>
      </c>
      <c r="V47" s="220">
        <v>4185</v>
      </c>
    </row>
    <row r="49" spans="2:3" ht="15" x14ac:dyDescent="0.2">
      <c r="B49" s="213" t="s">
        <v>242</v>
      </c>
    </row>
    <row r="50" spans="2:3" x14ac:dyDescent="0.2">
      <c r="B50" s="214">
        <v>1</v>
      </c>
      <c r="C50" s="88" t="s">
        <v>340</v>
      </c>
    </row>
    <row r="51" spans="2:3" x14ac:dyDescent="0.2">
      <c r="B51" s="214">
        <f>B50+1</f>
        <v>2</v>
      </c>
      <c r="C51" s="88" t="s">
        <v>341</v>
      </c>
    </row>
    <row r="52" spans="2:3" x14ac:dyDescent="0.2">
      <c r="B52" s="214">
        <f>B51+1</f>
        <v>3</v>
      </c>
      <c r="C52" s="88" t="s">
        <v>342</v>
      </c>
    </row>
    <row r="53" spans="2:3" x14ac:dyDescent="0.2">
      <c r="B53" s="214">
        <f>B52+1</f>
        <v>4</v>
      </c>
      <c r="C53" s="88" t="s">
        <v>343</v>
      </c>
    </row>
  </sheetData>
  <mergeCells count="5">
    <mergeCell ref="E6:P6"/>
    <mergeCell ref="Q6:V6"/>
    <mergeCell ref="B6:B7"/>
    <mergeCell ref="C6:C7"/>
    <mergeCell ref="D6:D7"/>
  </mergeCells>
  <phoneticPr fontId="14" type="noConversion"/>
  <pageMargins left="0.2" right="0.2" top="0.25" bottom="0.25" header="0.3" footer="0.3"/>
  <pageSetup paperSize="9" scale="5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N53"/>
  <sheetViews>
    <sheetView view="pageBreakPreview" zoomScale="79" zoomScaleSheetLayoutView="79" workbookViewId="0">
      <selection sqref="A1:XFD1048576"/>
    </sheetView>
  </sheetViews>
  <sheetFormatPr defaultRowHeight="12.75" x14ac:dyDescent="0.2"/>
  <cols>
    <col min="2" max="2" width="8.85546875" customWidth="1"/>
    <col min="3" max="3" width="65.28515625" customWidth="1"/>
    <col min="5" max="5" width="10.85546875" bestFit="1" customWidth="1"/>
    <col min="6" max="6" width="9.28515625" bestFit="1" customWidth="1"/>
    <col min="7" max="7" width="10.85546875" bestFit="1" customWidth="1"/>
    <col min="8" max="8" width="9.28515625" bestFit="1" customWidth="1"/>
    <col min="9" max="9" width="10.85546875" bestFit="1" customWidth="1"/>
    <col min="10" max="10" width="9.28515625" bestFit="1" customWidth="1"/>
    <col min="11" max="11" width="10.85546875" bestFit="1" customWidth="1"/>
    <col min="12" max="12" width="9.28515625" bestFit="1" customWidth="1"/>
    <col min="13" max="13" width="10.85546875" bestFit="1" customWidth="1"/>
    <col min="14" max="14" width="9.28515625" bestFit="1" customWidth="1"/>
    <col min="15" max="15" width="10.85546875" bestFit="1" customWidth="1"/>
    <col min="16" max="16" width="9.28515625" bestFit="1" customWidth="1"/>
    <col min="17" max="17" width="10.85546875" bestFit="1" customWidth="1"/>
    <col min="18" max="18" width="9.28515625" bestFit="1" customWidth="1"/>
    <col min="19" max="19" width="10.85546875" bestFit="1" customWidth="1"/>
    <col min="20" max="20" width="9.28515625" bestFit="1" customWidth="1"/>
    <col min="21" max="21" width="10.85546875" bestFit="1" customWidth="1"/>
    <col min="22" max="22" width="9.28515625" bestFit="1" customWidth="1"/>
    <col min="23" max="23" width="10.85546875" bestFit="1" customWidth="1"/>
    <col min="24" max="24" width="9.28515625" bestFit="1" customWidth="1"/>
    <col min="25" max="25" width="10.85546875" bestFit="1" customWidth="1"/>
    <col min="26" max="26" width="9.28515625" bestFit="1" customWidth="1"/>
    <col min="27" max="27" width="10.85546875" bestFit="1" customWidth="1"/>
    <col min="28" max="28" width="9.28515625" bestFit="1" customWidth="1"/>
    <col min="29" max="29" width="10.85546875" bestFit="1" customWidth="1"/>
    <col min="30" max="30" width="9.28515625" bestFit="1" customWidth="1"/>
    <col min="31" max="31" width="10.85546875" bestFit="1" customWidth="1"/>
    <col min="32" max="32" width="9.28515625" bestFit="1" customWidth="1"/>
    <col min="33" max="33" width="10.85546875" bestFit="1" customWidth="1"/>
    <col min="34" max="34" width="9.28515625" bestFit="1" customWidth="1"/>
    <col min="35" max="35" width="10.85546875" bestFit="1" customWidth="1"/>
    <col min="36" max="36" width="9.28515625" bestFit="1" customWidth="1"/>
    <col min="37" max="37" width="10.85546875" bestFit="1" customWidth="1"/>
    <col min="38" max="38" width="9.28515625" bestFit="1" customWidth="1"/>
    <col min="39" max="39" width="10.85546875" bestFit="1" customWidth="1"/>
    <col min="40" max="40" width="9.28515625" bestFit="1" customWidth="1"/>
  </cols>
  <sheetData>
    <row r="2" spans="2:40" ht="16.5" x14ac:dyDescent="0.2">
      <c r="B2" s="315" t="s">
        <v>430</v>
      </c>
      <c r="C2" s="315"/>
      <c r="D2" s="315"/>
      <c r="E2" s="315"/>
      <c r="F2" s="315"/>
      <c r="G2" s="315"/>
      <c r="H2" s="315"/>
      <c r="I2" s="315"/>
      <c r="J2" s="315"/>
      <c r="K2" s="315"/>
      <c r="L2" s="315"/>
      <c r="M2" s="315"/>
      <c r="N2" s="315"/>
      <c r="O2" s="315"/>
      <c r="P2" s="315"/>
      <c r="Q2" s="315"/>
      <c r="R2" s="315"/>
      <c r="S2" s="315"/>
      <c r="T2" s="315"/>
      <c r="U2" s="315"/>
      <c r="V2" s="315"/>
    </row>
    <row r="3" spans="2:40" ht="15" x14ac:dyDescent="0.2">
      <c r="B3" s="283" t="s">
        <v>481</v>
      </c>
      <c r="C3" s="283"/>
      <c r="D3" s="283"/>
      <c r="E3" s="283"/>
      <c r="F3" s="283"/>
      <c r="G3" s="283"/>
      <c r="H3" s="283"/>
      <c r="I3" s="283"/>
      <c r="J3" s="283"/>
      <c r="K3" s="283"/>
      <c r="L3" s="283"/>
      <c r="M3" s="283"/>
      <c r="N3" s="283"/>
      <c r="O3" s="283"/>
      <c r="P3" s="283"/>
      <c r="Q3" s="283"/>
      <c r="R3" s="283"/>
      <c r="S3" s="283"/>
      <c r="T3" s="283"/>
      <c r="U3" s="283"/>
      <c r="V3" s="283"/>
    </row>
    <row r="4" spans="2:40" ht="16.5" x14ac:dyDescent="0.2">
      <c r="B4" s="316" t="s">
        <v>482</v>
      </c>
      <c r="C4" s="316"/>
      <c r="D4" s="316"/>
      <c r="E4" s="316"/>
      <c r="F4" s="316"/>
      <c r="G4" s="316"/>
      <c r="H4" s="316"/>
      <c r="I4" s="316"/>
      <c r="J4" s="316"/>
      <c r="K4" s="316"/>
      <c r="L4" s="316"/>
      <c r="M4" s="316"/>
      <c r="N4" s="316"/>
      <c r="O4" s="316"/>
      <c r="P4" s="316"/>
      <c r="Q4" s="316"/>
      <c r="R4" s="316"/>
      <c r="S4" s="316"/>
      <c r="T4" s="316"/>
      <c r="U4" s="316"/>
      <c r="V4" s="316"/>
    </row>
    <row r="6" spans="2:40" ht="15" x14ac:dyDescent="0.2">
      <c r="B6" s="314" t="s">
        <v>193</v>
      </c>
      <c r="C6" s="314" t="s">
        <v>18</v>
      </c>
      <c r="D6" s="314" t="s">
        <v>39</v>
      </c>
      <c r="E6" s="317">
        <v>45383</v>
      </c>
      <c r="F6" s="318"/>
      <c r="G6" s="317">
        <v>45413</v>
      </c>
      <c r="H6" s="318"/>
      <c r="I6" s="317">
        <v>45444</v>
      </c>
      <c r="J6" s="318"/>
      <c r="K6" s="317">
        <v>45474</v>
      </c>
      <c r="L6" s="318"/>
      <c r="M6" s="317">
        <v>45505</v>
      </c>
      <c r="N6" s="318"/>
      <c r="O6" s="317">
        <v>45536</v>
      </c>
      <c r="P6" s="318"/>
      <c r="Q6" s="317">
        <v>45566</v>
      </c>
      <c r="R6" s="318"/>
      <c r="S6" s="317">
        <v>45597</v>
      </c>
      <c r="T6" s="318"/>
      <c r="U6" s="317">
        <v>45627</v>
      </c>
      <c r="V6" s="318"/>
      <c r="W6" s="317">
        <v>45658</v>
      </c>
      <c r="X6" s="318"/>
      <c r="Y6" s="317">
        <v>45689</v>
      </c>
      <c r="Z6" s="318"/>
      <c r="AA6" s="317">
        <v>45717</v>
      </c>
      <c r="AB6" s="318"/>
      <c r="AC6" s="317">
        <v>45748</v>
      </c>
      <c r="AD6" s="318"/>
      <c r="AE6" s="317">
        <v>45778</v>
      </c>
      <c r="AF6" s="318"/>
      <c r="AG6" s="317">
        <v>45809</v>
      </c>
      <c r="AH6" s="318"/>
      <c r="AI6" s="317">
        <v>45839</v>
      </c>
      <c r="AJ6" s="318"/>
      <c r="AK6" s="317">
        <v>45870</v>
      </c>
      <c r="AL6" s="318"/>
      <c r="AM6" s="317">
        <v>45901</v>
      </c>
      <c r="AN6" s="318"/>
    </row>
    <row r="7" spans="2:40" ht="15" x14ac:dyDescent="0.2">
      <c r="B7" s="314"/>
      <c r="C7" s="314"/>
      <c r="D7" s="314"/>
      <c r="E7" s="200" t="s">
        <v>483</v>
      </c>
      <c r="F7" s="200" t="s">
        <v>484</v>
      </c>
      <c r="G7" s="200" t="s">
        <v>483</v>
      </c>
      <c r="H7" s="200" t="s">
        <v>484</v>
      </c>
      <c r="I7" s="200" t="s">
        <v>483</v>
      </c>
      <c r="J7" s="200" t="s">
        <v>484</v>
      </c>
      <c r="K7" s="200" t="s">
        <v>483</v>
      </c>
      <c r="L7" s="200" t="s">
        <v>484</v>
      </c>
      <c r="M7" s="200" t="s">
        <v>483</v>
      </c>
      <c r="N7" s="200" t="s">
        <v>484</v>
      </c>
      <c r="O7" s="200" t="s">
        <v>483</v>
      </c>
      <c r="P7" s="200" t="s">
        <v>484</v>
      </c>
      <c r="Q7" s="200" t="s">
        <v>483</v>
      </c>
      <c r="R7" s="200" t="s">
        <v>484</v>
      </c>
      <c r="S7" s="200" t="s">
        <v>483</v>
      </c>
      <c r="T7" s="200" t="s">
        <v>484</v>
      </c>
      <c r="U7" s="200" t="s">
        <v>483</v>
      </c>
      <c r="V7" s="200" t="s">
        <v>484</v>
      </c>
      <c r="W7" s="201" t="s">
        <v>483</v>
      </c>
      <c r="X7" s="201" t="s">
        <v>484</v>
      </c>
      <c r="Y7" s="201" t="s">
        <v>483</v>
      </c>
      <c r="Z7" s="201" t="s">
        <v>484</v>
      </c>
      <c r="AA7" s="201" t="s">
        <v>483</v>
      </c>
      <c r="AB7" s="201" t="s">
        <v>484</v>
      </c>
      <c r="AC7" s="202" t="s">
        <v>483</v>
      </c>
      <c r="AD7" s="202" t="s">
        <v>484</v>
      </c>
      <c r="AE7" s="202" t="s">
        <v>483</v>
      </c>
      <c r="AF7" s="202" t="s">
        <v>484</v>
      </c>
      <c r="AG7" s="202" t="s">
        <v>483</v>
      </c>
      <c r="AH7" s="202" t="s">
        <v>484</v>
      </c>
      <c r="AI7" s="202" t="s">
        <v>483</v>
      </c>
      <c r="AJ7" s="202" t="s">
        <v>484</v>
      </c>
      <c r="AK7" s="202" t="s">
        <v>483</v>
      </c>
      <c r="AL7" s="202" t="s">
        <v>484</v>
      </c>
      <c r="AM7" s="202" t="s">
        <v>483</v>
      </c>
      <c r="AN7" s="202" t="s">
        <v>484</v>
      </c>
    </row>
    <row r="8" spans="2:40" ht="15" x14ac:dyDescent="0.2">
      <c r="B8" s="200" t="s">
        <v>67</v>
      </c>
      <c r="C8" s="203" t="s">
        <v>302</v>
      </c>
      <c r="D8" s="204"/>
      <c r="E8" s="205"/>
      <c r="F8" s="205"/>
      <c r="G8" s="205"/>
      <c r="H8" s="205"/>
      <c r="I8" s="205"/>
      <c r="J8" s="205"/>
      <c r="K8" s="205"/>
      <c r="L8" s="205"/>
      <c r="M8" s="205"/>
      <c r="N8" s="205"/>
      <c r="O8" s="205"/>
      <c r="P8" s="205"/>
      <c r="Q8" s="205"/>
      <c r="R8" s="205"/>
      <c r="S8" s="205"/>
      <c r="T8" s="205"/>
      <c r="U8" s="205"/>
      <c r="V8" s="205"/>
      <c r="W8" s="181"/>
      <c r="X8" s="181"/>
      <c r="Y8" s="181"/>
      <c r="Z8" s="181"/>
      <c r="AA8" s="181"/>
      <c r="AB8" s="181"/>
      <c r="AC8" s="206"/>
      <c r="AD8" s="206"/>
      <c r="AE8" s="206"/>
      <c r="AF8" s="206"/>
      <c r="AG8" s="206"/>
      <c r="AH8" s="206"/>
      <c r="AI8" s="206"/>
      <c r="AJ8" s="206"/>
      <c r="AK8" s="206"/>
      <c r="AL8" s="206"/>
      <c r="AM8" s="206"/>
      <c r="AN8" s="206"/>
    </row>
    <row r="9" spans="2:40" ht="14.25" x14ac:dyDescent="0.2">
      <c r="B9" s="204">
        <v>1</v>
      </c>
      <c r="C9" s="205" t="s">
        <v>431</v>
      </c>
      <c r="D9" s="207" t="s">
        <v>432</v>
      </c>
      <c r="E9" s="208">
        <v>1648.79</v>
      </c>
      <c r="F9" s="208">
        <v>397.13099999999935</v>
      </c>
      <c r="G9" s="208">
        <v>1491.693</v>
      </c>
      <c r="H9" s="208">
        <v>390.12999999999937</v>
      </c>
      <c r="I9" s="208">
        <v>1632.2550000000001</v>
      </c>
      <c r="J9" s="208">
        <v>390.12999999999937</v>
      </c>
      <c r="K9" s="208">
        <v>1486.5650000000001</v>
      </c>
      <c r="L9" s="208">
        <v>380.58399999999938</v>
      </c>
      <c r="M9" s="208">
        <v>1603.9470000000001</v>
      </c>
      <c r="N9" s="208">
        <v>338.57999999999936</v>
      </c>
      <c r="O9" s="208">
        <v>1532.0630000000001</v>
      </c>
      <c r="P9" s="208">
        <v>317.22499999999934</v>
      </c>
      <c r="Q9" s="208">
        <v>1601.5050000000001</v>
      </c>
      <c r="R9" s="208">
        <v>309.48499999999933</v>
      </c>
      <c r="S9" s="208">
        <v>1637.9680000000003</v>
      </c>
      <c r="T9" s="208">
        <v>337.84699999999935</v>
      </c>
      <c r="U9" s="208">
        <v>1673.7870000000003</v>
      </c>
      <c r="V9" s="208">
        <v>337.84699999999935</v>
      </c>
      <c r="W9" s="209">
        <v>1665.9910000000002</v>
      </c>
      <c r="X9" s="209">
        <v>337.84699999999935</v>
      </c>
      <c r="Y9" s="209">
        <v>1641.5020000000002</v>
      </c>
      <c r="Z9" s="209">
        <v>312.48599999999931</v>
      </c>
      <c r="AA9" s="209">
        <v>1588.0900000000001</v>
      </c>
      <c r="AB9" s="209">
        <v>362.48599999999931</v>
      </c>
      <c r="AC9" s="209">
        <v>1470.8530000000003</v>
      </c>
      <c r="AD9" s="209">
        <v>356.3999999999993</v>
      </c>
      <c r="AE9" s="209">
        <v>1401.7140000000004</v>
      </c>
      <c r="AF9" s="209">
        <v>311.84999999999928</v>
      </c>
      <c r="AG9" s="209">
        <v>1337.5010000000002</v>
      </c>
      <c r="AH9" s="209">
        <v>318.21399999999926</v>
      </c>
      <c r="AI9" s="209">
        <v>1430.123</v>
      </c>
      <c r="AJ9" s="209">
        <v>361.21399999999926</v>
      </c>
      <c r="AK9" s="209">
        <v>1409.7249999999999</v>
      </c>
      <c r="AL9" s="209">
        <v>355.93999999999926</v>
      </c>
      <c r="AM9" s="209">
        <v>1445.7149999999999</v>
      </c>
      <c r="AN9" s="209">
        <v>294.02999999999929</v>
      </c>
    </row>
    <row r="10" spans="2:40" ht="14.25" x14ac:dyDescent="0.2">
      <c r="B10" s="204">
        <v>2</v>
      </c>
      <c r="C10" s="205" t="s">
        <v>304</v>
      </c>
      <c r="D10" s="207" t="s">
        <v>433</v>
      </c>
      <c r="E10" s="210">
        <v>10.344787354287199</v>
      </c>
      <c r="F10" s="210">
        <v>3.3684980440557197</v>
      </c>
      <c r="G10" s="210">
        <v>9.3591342031906635</v>
      </c>
      <c r="H10" s="210">
        <v>3.3091149820272352</v>
      </c>
      <c r="I10" s="210">
        <v>10.330850181320892</v>
      </c>
      <c r="J10" s="210">
        <v>3.3091149820272352</v>
      </c>
      <c r="K10" s="210">
        <v>9.43511987798537</v>
      </c>
      <c r="L10" s="210">
        <v>3.2281450191470871</v>
      </c>
      <c r="M10" s="210">
        <v>10.240664692624591</v>
      </c>
      <c r="N10" s="210">
        <v>2.8718636111418783</v>
      </c>
      <c r="O10" s="210">
        <v>9.8020324704779078</v>
      </c>
      <c r="P10" s="210">
        <v>2.6484815055178066</v>
      </c>
      <c r="Q10" s="210">
        <v>10.235367772149724</v>
      </c>
      <c r="R10" s="210">
        <v>2.5838609779657289</v>
      </c>
      <c r="S10" s="210">
        <v>10.472336512313078</v>
      </c>
      <c r="T10" s="210">
        <v>2.780674060876497</v>
      </c>
      <c r="U10" s="210">
        <v>10.694826925534189</v>
      </c>
      <c r="V10" s="210">
        <v>2.780674060876497</v>
      </c>
      <c r="W10" s="209">
        <v>10.64501361553031</v>
      </c>
      <c r="X10" s="209">
        <v>2.780674060876497</v>
      </c>
      <c r="Y10" s="209">
        <v>10.520973590882322</v>
      </c>
      <c r="Z10" s="209">
        <v>2.5248817866996607</v>
      </c>
      <c r="AA10" s="209">
        <v>10.17863697390823</v>
      </c>
      <c r="AB10" s="209">
        <v>2.939973586699661</v>
      </c>
      <c r="AC10" s="209">
        <v>9.427223097547289</v>
      </c>
      <c r="AD10" s="209">
        <v>2.8906125651742598</v>
      </c>
      <c r="AE10" s="209">
        <v>8.9840865109942349</v>
      </c>
      <c r="AF10" s="209">
        <v>2.5292859945274766</v>
      </c>
      <c r="AG10" s="209">
        <v>8.5068271943089862</v>
      </c>
      <c r="AH10" s="209">
        <v>2.5277972109409044</v>
      </c>
      <c r="AI10" s="209">
        <v>9.0785443460103892</v>
      </c>
      <c r="AJ10" s="209">
        <v>2.8243953876995653</v>
      </c>
      <c r="AK10" s="209">
        <v>8.9457412739762763</v>
      </c>
      <c r="AL10" s="209">
        <v>2.7797364206950581</v>
      </c>
      <c r="AM10" s="209">
        <v>9.1714874549016727</v>
      </c>
      <c r="AN10" s="209">
        <v>2.2962462768358929</v>
      </c>
    </row>
    <row r="11" spans="2:40" ht="15" x14ac:dyDescent="0.2">
      <c r="B11" s="200" t="s">
        <v>71</v>
      </c>
      <c r="C11" s="203" t="s">
        <v>306</v>
      </c>
      <c r="D11" s="207"/>
      <c r="E11" s="211"/>
      <c r="F11" s="211"/>
      <c r="G11" s="211"/>
      <c r="H11" s="211"/>
      <c r="I11" s="211"/>
      <c r="J11" s="211"/>
      <c r="K11" s="211"/>
      <c r="L11" s="211"/>
      <c r="M11" s="211"/>
      <c r="N11" s="211"/>
      <c r="O11" s="211"/>
      <c r="P11" s="211"/>
      <c r="Q11" s="211"/>
      <c r="R11" s="211"/>
      <c r="S11" s="211"/>
      <c r="T11" s="211"/>
      <c r="U11" s="211"/>
      <c r="V11" s="211"/>
      <c r="W11" s="209"/>
      <c r="X11" s="209"/>
      <c r="Y11" s="209"/>
      <c r="Z11" s="209"/>
      <c r="AA11" s="209"/>
      <c r="AB11" s="209"/>
      <c r="AC11" s="209"/>
      <c r="AD11" s="209"/>
      <c r="AE11" s="209"/>
      <c r="AF11" s="209"/>
      <c r="AG11" s="209"/>
      <c r="AH11" s="209"/>
      <c r="AI11" s="209"/>
      <c r="AJ11" s="209"/>
      <c r="AK11" s="209"/>
      <c r="AL11" s="209"/>
      <c r="AM11" s="209"/>
      <c r="AN11" s="209"/>
    </row>
    <row r="12" spans="2:40" ht="14.25" x14ac:dyDescent="0.2">
      <c r="B12" s="204">
        <v>3</v>
      </c>
      <c r="C12" s="205" t="s">
        <v>434</v>
      </c>
      <c r="D12" s="207" t="s">
        <v>432</v>
      </c>
      <c r="E12" s="208">
        <v>0</v>
      </c>
      <c r="F12" s="208">
        <v>0</v>
      </c>
      <c r="G12" s="208">
        <v>202.72</v>
      </c>
      <c r="H12" s="208">
        <v>0</v>
      </c>
      <c r="I12" s="208">
        <v>48.286999999999999</v>
      </c>
      <c r="J12" s="208">
        <v>0</v>
      </c>
      <c r="K12" s="208">
        <v>192.81300000000002</v>
      </c>
      <c r="L12" s="208">
        <v>0</v>
      </c>
      <c r="M12" s="208">
        <v>278.32100000000003</v>
      </c>
      <c r="N12" s="208">
        <v>99</v>
      </c>
      <c r="O12" s="208">
        <v>130.69900000000001</v>
      </c>
      <c r="P12" s="208">
        <v>0</v>
      </c>
      <c r="Q12" s="208">
        <v>98.861000000000004</v>
      </c>
      <c r="R12" s="208">
        <v>50</v>
      </c>
      <c r="S12" s="208">
        <v>104.94499999999999</v>
      </c>
      <c r="T12" s="208">
        <v>0</v>
      </c>
      <c r="U12" s="208">
        <v>0</v>
      </c>
      <c r="V12" s="208">
        <v>0</v>
      </c>
      <c r="W12" s="209">
        <v>193.119</v>
      </c>
      <c r="X12" s="209">
        <v>202</v>
      </c>
      <c r="Y12" s="209">
        <v>0</v>
      </c>
      <c r="Z12" s="209">
        <v>50</v>
      </c>
      <c r="AA12" s="209">
        <v>0</v>
      </c>
      <c r="AB12" s="209">
        <v>0</v>
      </c>
      <c r="AC12" s="209">
        <v>0</v>
      </c>
      <c r="AD12" s="209">
        <v>0</v>
      </c>
      <c r="AE12" s="209">
        <v>201.744</v>
      </c>
      <c r="AF12" s="209">
        <v>50</v>
      </c>
      <c r="AG12" s="209">
        <v>108.09099999999999</v>
      </c>
      <c r="AH12" s="209">
        <v>50</v>
      </c>
      <c r="AI12" s="209">
        <v>48.87</v>
      </c>
      <c r="AJ12" s="209">
        <v>53</v>
      </c>
      <c r="AK12" s="209">
        <v>150.66300000000001</v>
      </c>
      <c r="AL12" s="209">
        <v>0</v>
      </c>
      <c r="AM12" s="209">
        <v>399.71</v>
      </c>
      <c r="AN12" s="209">
        <v>98</v>
      </c>
    </row>
    <row r="13" spans="2:40" ht="14.25" x14ac:dyDescent="0.2">
      <c r="B13" s="204">
        <v>4</v>
      </c>
      <c r="C13" s="205" t="s">
        <v>435</v>
      </c>
      <c r="D13" s="207" t="s">
        <v>432</v>
      </c>
      <c r="E13" s="211"/>
      <c r="F13" s="211"/>
      <c r="G13" s="211"/>
      <c r="H13" s="211"/>
      <c r="I13" s="211"/>
      <c r="J13" s="211"/>
      <c r="K13" s="211"/>
      <c r="L13" s="211"/>
      <c r="M13" s="211"/>
      <c r="N13" s="211"/>
      <c r="O13" s="211"/>
      <c r="P13" s="211"/>
      <c r="Q13" s="211"/>
      <c r="R13" s="211"/>
      <c r="S13" s="211"/>
      <c r="T13" s="211"/>
      <c r="U13" s="211"/>
      <c r="V13" s="211"/>
      <c r="W13" s="181"/>
      <c r="X13" s="181"/>
      <c r="Y13" s="181"/>
      <c r="Z13" s="181"/>
      <c r="AA13" s="181"/>
      <c r="AB13" s="181"/>
      <c r="AC13" s="181"/>
      <c r="AD13" s="181"/>
      <c r="AE13" s="181"/>
      <c r="AF13" s="181"/>
      <c r="AG13" s="181"/>
      <c r="AH13" s="181"/>
      <c r="AI13" s="181"/>
      <c r="AJ13" s="181"/>
      <c r="AK13" s="181"/>
      <c r="AL13" s="181"/>
      <c r="AM13" s="181"/>
      <c r="AN13" s="181"/>
    </row>
    <row r="14" spans="2:40" ht="14.25" x14ac:dyDescent="0.2">
      <c r="B14" s="204">
        <v>5</v>
      </c>
      <c r="C14" s="205" t="s">
        <v>436</v>
      </c>
      <c r="D14" s="207" t="s">
        <v>432</v>
      </c>
      <c r="E14" s="208">
        <f>SUM(E12:E13)</f>
        <v>0</v>
      </c>
      <c r="F14" s="208">
        <f t="shared" ref="F14:AN14" si="0">SUM(F12:F13)</f>
        <v>0</v>
      </c>
      <c r="G14" s="208">
        <f t="shared" si="0"/>
        <v>202.72</v>
      </c>
      <c r="H14" s="208">
        <f t="shared" si="0"/>
        <v>0</v>
      </c>
      <c r="I14" s="208">
        <f t="shared" si="0"/>
        <v>48.286999999999999</v>
      </c>
      <c r="J14" s="208">
        <f t="shared" si="0"/>
        <v>0</v>
      </c>
      <c r="K14" s="208">
        <f t="shared" si="0"/>
        <v>192.81300000000002</v>
      </c>
      <c r="L14" s="208">
        <f t="shared" si="0"/>
        <v>0</v>
      </c>
      <c r="M14" s="208">
        <f t="shared" si="0"/>
        <v>278.32100000000003</v>
      </c>
      <c r="N14" s="208">
        <f t="shared" si="0"/>
        <v>99</v>
      </c>
      <c r="O14" s="208">
        <f t="shared" si="0"/>
        <v>130.69900000000001</v>
      </c>
      <c r="P14" s="208">
        <f t="shared" si="0"/>
        <v>0</v>
      </c>
      <c r="Q14" s="208">
        <f t="shared" si="0"/>
        <v>98.861000000000004</v>
      </c>
      <c r="R14" s="208">
        <f t="shared" si="0"/>
        <v>50</v>
      </c>
      <c r="S14" s="208">
        <f t="shared" si="0"/>
        <v>104.94499999999999</v>
      </c>
      <c r="T14" s="208">
        <f t="shared" si="0"/>
        <v>0</v>
      </c>
      <c r="U14" s="208">
        <f t="shared" si="0"/>
        <v>0</v>
      </c>
      <c r="V14" s="208">
        <f t="shared" si="0"/>
        <v>0</v>
      </c>
      <c r="W14" s="208">
        <f t="shared" si="0"/>
        <v>193.119</v>
      </c>
      <c r="X14" s="208">
        <f t="shared" si="0"/>
        <v>202</v>
      </c>
      <c r="Y14" s="208">
        <f t="shared" si="0"/>
        <v>0</v>
      </c>
      <c r="Z14" s="208">
        <f t="shared" si="0"/>
        <v>50</v>
      </c>
      <c r="AA14" s="208">
        <f t="shared" si="0"/>
        <v>0</v>
      </c>
      <c r="AB14" s="208">
        <f t="shared" si="0"/>
        <v>0</v>
      </c>
      <c r="AC14" s="208">
        <f t="shared" si="0"/>
        <v>0</v>
      </c>
      <c r="AD14" s="208">
        <f t="shared" si="0"/>
        <v>0</v>
      </c>
      <c r="AE14" s="208">
        <f t="shared" si="0"/>
        <v>201.744</v>
      </c>
      <c r="AF14" s="208">
        <f t="shared" si="0"/>
        <v>50</v>
      </c>
      <c r="AG14" s="208">
        <f t="shared" si="0"/>
        <v>108.09099999999999</v>
      </c>
      <c r="AH14" s="208">
        <f t="shared" si="0"/>
        <v>50</v>
      </c>
      <c r="AI14" s="208">
        <f t="shared" si="0"/>
        <v>48.87</v>
      </c>
      <c r="AJ14" s="208">
        <f t="shared" si="0"/>
        <v>53</v>
      </c>
      <c r="AK14" s="208">
        <f t="shared" si="0"/>
        <v>150.66300000000001</v>
      </c>
      <c r="AL14" s="208">
        <f t="shared" si="0"/>
        <v>0</v>
      </c>
      <c r="AM14" s="208">
        <f t="shared" si="0"/>
        <v>399.71</v>
      </c>
      <c r="AN14" s="208">
        <f t="shared" si="0"/>
        <v>98</v>
      </c>
    </row>
    <row r="15" spans="2:40" ht="14.25" x14ac:dyDescent="0.2">
      <c r="B15" s="204">
        <v>6</v>
      </c>
      <c r="C15" s="205" t="s">
        <v>309</v>
      </c>
      <c r="D15" s="207" t="s">
        <v>432</v>
      </c>
      <c r="E15" s="211"/>
      <c r="F15" s="211"/>
      <c r="G15" s="211"/>
      <c r="H15" s="211"/>
      <c r="I15" s="211"/>
      <c r="J15" s="211"/>
      <c r="K15" s="211"/>
      <c r="L15" s="211"/>
      <c r="M15" s="211"/>
      <c r="N15" s="211"/>
      <c r="O15" s="211"/>
      <c r="P15" s="211"/>
      <c r="Q15" s="211"/>
      <c r="R15" s="211"/>
      <c r="S15" s="211"/>
      <c r="T15" s="211"/>
      <c r="U15" s="211"/>
      <c r="V15" s="211"/>
      <c r="W15" s="181"/>
      <c r="X15" s="181"/>
      <c r="Y15" s="181"/>
      <c r="Z15" s="181"/>
      <c r="AA15" s="181"/>
      <c r="AB15" s="181"/>
      <c r="AC15" s="181"/>
      <c r="AD15" s="181"/>
      <c r="AE15" s="181"/>
      <c r="AF15" s="181"/>
      <c r="AG15" s="181"/>
      <c r="AH15" s="181"/>
      <c r="AI15" s="181"/>
      <c r="AJ15" s="181"/>
      <c r="AK15" s="181"/>
      <c r="AL15" s="181"/>
      <c r="AM15" s="181"/>
      <c r="AN15" s="181"/>
    </row>
    <row r="16" spans="2:40" ht="14.25" x14ac:dyDescent="0.2">
      <c r="B16" s="204">
        <v>7</v>
      </c>
      <c r="C16" s="205" t="s">
        <v>437</v>
      </c>
      <c r="D16" s="207" t="s">
        <v>432</v>
      </c>
      <c r="E16" s="208">
        <f>E14-E15</f>
        <v>0</v>
      </c>
      <c r="F16" s="208">
        <f t="shared" ref="F16:AN16" si="1">F14-F15</f>
        <v>0</v>
      </c>
      <c r="G16" s="208">
        <f t="shared" si="1"/>
        <v>202.72</v>
      </c>
      <c r="H16" s="208">
        <f t="shared" si="1"/>
        <v>0</v>
      </c>
      <c r="I16" s="208">
        <f t="shared" si="1"/>
        <v>48.286999999999999</v>
      </c>
      <c r="J16" s="208">
        <f t="shared" si="1"/>
        <v>0</v>
      </c>
      <c r="K16" s="208">
        <f t="shared" si="1"/>
        <v>192.81300000000002</v>
      </c>
      <c r="L16" s="208">
        <f t="shared" si="1"/>
        <v>0</v>
      </c>
      <c r="M16" s="208">
        <f t="shared" si="1"/>
        <v>278.32100000000003</v>
      </c>
      <c r="N16" s="208">
        <f t="shared" si="1"/>
        <v>99</v>
      </c>
      <c r="O16" s="208">
        <f t="shared" si="1"/>
        <v>130.69900000000001</v>
      </c>
      <c r="P16" s="208">
        <f t="shared" si="1"/>
        <v>0</v>
      </c>
      <c r="Q16" s="208">
        <f t="shared" si="1"/>
        <v>98.861000000000004</v>
      </c>
      <c r="R16" s="208">
        <f t="shared" si="1"/>
        <v>50</v>
      </c>
      <c r="S16" s="208">
        <f t="shared" si="1"/>
        <v>104.94499999999999</v>
      </c>
      <c r="T16" s="208">
        <f t="shared" si="1"/>
        <v>0</v>
      </c>
      <c r="U16" s="208">
        <f t="shared" si="1"/>
        <v>0</v>
      </c>
      <c r="V16" s="208">
        <f t="shared" si="1"/>
        <v>0</v>
      </c>
      <c r="W16" s="208">
        <f t="shared" si="1"/>
        <v>193.119</v>
      </c>
      <c r="X16" s="208">
        <f t="shared" si="1"/>
        <v>202</v>
      </c>
      <c r="Y16" s="208">
        <f t="shared" si="1"/>
        <v>0</v>
      </c>
      <c r="Z16" s="208">
        <f t="shared" si="1"/>
        <v>50</v>
      </c>
      <c r="AA16" s="208">
        <f t="shared" si="1"/>
        <v>0</v>
      </c>
      <c r="AB16" s="208">
        <f t="shared" si="1"/>
        <v>0</v>
      </c>
      <c r="AC16" s="208">
        <f t="shared" si="1"/>
        <v>0</v>
      </c>
      <c r="AD16" s="208">
        <f t="shared" si="1"/>
        <v>0</v>
      </c>
      <c r="AE16" s="208">
        <f t="shared" si="1"/>
        <v>201.744</v>
      </c>
      <c r="AF16" s="208">
        <f t="shared" si="1"/>
        <v>50</v>
      </c>
      <c r="AG16" s="208">
        <f t="shared" si="1"/>
        <v>108.09099999999999</v>
      </c>
      <c r="AH16" s="208">
        <f t="shared" si="1"/>
        <v>50</v>
      </c>
      <c r="AI16" s="208">
        <f t="shared" si="1"/>
        <v>48.87</v>
      </c>
      <c r="AJ16" s="208">
        <f t="shared" si="1"/>
        <v>53</v>
      </c>
      <c r="AK16" s="208">
        <f t="shared" si="1"/>
        <v>150.66300000000001</v>
      </c>
      <c r="AL16" s="208">
        <f t="shared" si="1"/>
        <v>0</v>
      </c>
      <c r="AM16" s="208">
        <f t="shared" si="1"/>
        <v>399.71</v>
      </c>
      <c r="AN16" s="208">
        <f t="shared" si="1"/>
        <v>98</v>
      </c>
    </row>
    <row r="17" spans="2:40" ht="15" x14ac:dyDescent="0.2">
      <c r="B17" s="200" t="s">
        <v>72</v>
      </c>
      <c r="C17" s="203" t="s">
        <v>311</v>
      </c>
      <c r="D17" s="207"/>
      <c r="E17" s="211"/>
      <c r="F17" s="211"/>
      <c r="G17" s="211"/>
      <c r="H17" s="211"/>
      <c r="I17" s="211"/>
      <c r="J17" s="211"/>
      <c r="K17" s="211"/>
      <c r="L17" s="211"/>
      <c r="M17" s="211"/>
      <c r="N17" s="211"/>
      <c r="O17" s="211"/>
      <c r="P17" s="211"/>
      <c r="Q17" s="211"/>
      <c r="R17" s="211"/>
      <c r="S17" s="211"/>
      <c r="T17" s="211"/>
      <c r="U17" s="211"/>
      <c r="V17" s="211"/>
      <c r="W17" s="181"/>
      <c r="X17" s="181"/>
      <c r="Y17" s="181"/>
      <c r="Z17" s="181"/>
      <c r="AA17" s="181"/>
      <c r="AB17" s="181"/>
      <c r="AC17" s="181"/>
      <c r="AD17" s="181"/>
      <c r="AE17" s="181"/>
      <c r="AF17" s="181"/>
      <c r="AG17" s="181"/>
      <c r="AH17" s="181"/>
      <c r="AI17" s="181"/>
      <c r="AJ17" s="181"/>
      <c r="AK17" s="181"/>
      <c r="AL17" s="181"/>
      <c r="AM17" s="181"/>
      <c r="AN17" s="181"/>
    </row>
    <row r="18" spans="2:40" ht="14.25" x14ac:dyDescent="0.2">
      <c r="B18" s="204">
        <v>8</v>
      </c>
      <c r="C18" s="205" t="s">
        <v>438</v>
      </c>
      <c r="D18" s="207" t="s">
        <v>433</v>
      </c>
      <c r="E18" s="210">
        <v>0</v>
      </c>
      <c r="F18" s="210">
        <v>0</v>
      </c>
      <c r="G18" s="210">
        <v>1.3651257000000001</v>
      </c>
      <c r="H18" s="210">
        <v>0</v>
      </c>
      <c r="I18" s="210">
        <v>0.33542759999999999</v>
      </c>
      <c r="J18" s="210">
        <v>0</v>
      </c>
      <c r="K18" s="210">
        <v>1.2871465</v>
      </c>
      <c r="L18" s="210"/>
      <c r="M18" s="210">
        <v>1.801955</v>
      </c>
      <c r="N18" s="210">
        <v>0.78145039999999999</v>
      </c>
      <c r="O18" s="210">
        <v>0.82483450000000003</v>
      </c>
      <c r="P18" s="210">
        <v>0</v>
      </c>
      <c r="Q18" s="210">
        <v>0.63590990000000003</v>
      </c>
      <c r="R18" s="210">
        <v>0.37490620000000002</v>
      </c>
      <c r="S18" s="210">
        <v>0.66417780000000004</v>
      </c>
      <c r="T18" s="210">
        <v>0</v>
      </c>
      <c r="U18" s="210">
        <v>0</v>
      </c>
      <c r="V18" s="210">
        <v>0</v>
      </c>
      <c r="W18" s="210">
        <v>1.2706875</v>
      </c>
      <c r="X18" s="210">
        <v>1.5812809000000001</v>
      </c>
      <c r="Y18" s="210">
        <v>0</v>
      </c>
      <c r="Z18" s="210">
        <v>0.41509180000000001</v>
      </c>
      <c r="AA18" s="210">
        <v>0</v>
      </c>
      <c r="AB18" s="210">
        <v>0</v>
      </c>
      <c r="AC18" s="210">
        <v>0</v>
      </c>
      <c r="AD18" s="210">
        <v>0</v>
      </c>
      <c r="AE18" s="210">
        <v>1.214291</v>
      </c>
      <c r="AF18" s="210">
        <v>0.34514260000000002</v>
      </c>
      <c r="AG18" s="210">
        <v>0.6699157</v>
      </c>
      <c r="AH18" s="210">
        <v>0.35133239999999999</v>
      </c>
      <c r="AI18" s="210">
        <v>0.30675330000000001</v>
      </c>
      <c r="AJ18" s="210">
        <v>0.41043560000000001</v>
      </c>
      <c r="AK18" s="210">
        <v>0.95322150000000005</v>
      </c>
      <c r="AL18" s="210">
        <v>0</v>
      </c>
      <c r="AM18" s="210">
        <v>2.4687152999999999</v>
      </c>
      <c r="AN18" s="210">
        <v>0.76620279999999996</v>
      </c>
    </row>
    <row r="19" spans="2:40" ht="14.25" x14ac:dyDescent="0.2">
      <c r="B19" s="204">
        <v>9</v>
      </c>
      <c r="C19" s="205" t="s">
        <v>439</v>
      </c>
      <c r="D19" s="207" t="s">
        <v>433</v>
      </c>
      <c r="E19" s="211"/>
      <c r="F19" s="211"/>
      <c r="G19" s="211"/>
      <c r="H19" s="211"/>
      <c r="I19" s="211"/>
      <c r="J19" s="211"/>
      <c r="K19" s="211"/>
      <c r="L19" s="211"/>
      <c r="M19" s="211"/>
      <c r="N19" s="211"/>
      <c r="O19" s="211"/>
      <c r="P19" s="211"/>
      <c r="Q19" s="211"/>
      <c r="R19" s="211"/>
      <c r="S19" s="211"/>
      <c r="T19" s="211"/>
      <c r="U19" s="211"/>
      <c r="V19" s="211"/>
      <c r="W19" s="181"/>
      <c r="X19" s="181"/>
      <c r="Y19" s="181"/>
      <c r="Z19" s="181"/>
      <c r="AA19" s="181"/>
      <c r="AB19" s="181"/>
      <c r="AC19" s="181"/>
      <c r="AD19" s="181"/>
      <c r="AE19" s="181"/>
      <c r="AF19" s="181"/>
      <c r="AG19" s="181"/>
      <c r="AH19" s="181"/>
      <c r="AI19" s="181"/>
      <c r="AJ19" s="181"/>
      <c r="AK19" s="181"/>
      <c r="AL19" s="181"/>
      <c r="AM19" s="181"/>
      <c r="AN19" s="181"/>
    </row>
    <row r="20" spans="2:40" ht="14.25" x14ac:dyDescent="0.2">
      <c r="B20" s="204">
        <v>10</v>
      </c>
      <c r="C20" s="205" t="s">
        <v>314</v>
      </c>
      <c r="D20" s="207" t="s">
        <v>433</v>
      </c>
      <c r="E20" s="211"/>
      <c r="F20" s="211"/>
      <c r="G20" s="211"/>
      <c r="H20" s="211"/>
      <c r="I20" s="211"/>
      <c r="J20" s="211"/>
      <c r="K20" s="211"/>
      <c r="L20" s="211"/>
      <c r="M20" s="211"/>
      <c r="N20" s="211"/>
      <c r="O20" s="211"/>
      <c r="P20" s="211"/>
      <c r="Q20" s="211"/>
      <c r="R20" s="211"/>
      <c r="S20" s="211"/>
      <c r="T20" s="211"/>
      <c r="U20" s="211"/>
      <c r="V20" s="211"/>
      <c r="W20" s="181"/>
      <c r="X20" s="181"/>
      <c r="Y20" s="181"/>
      <c r="Z20" s="181"/>
      <c r="AA20" s="181"/>
      <c r="AB20" s="181"/>
      <c r="AC20" s="181"/>
      <c r="AD20" s="181"/>
      <c r="AE20" s="181"/>
      <c r="AF20" s="181"/>
      <c r="AG20" s="181"/>
      <c r="AH20" s="181"/>
      <c r="AI20" s="181"/>
      <c r="AJ20" s="181"/>
      <c r="AK20" s="181"/>
      <c r="AL20" s="181"/>
      <c r="AM20" s="181"/>
      <c r="AN20" s="181"/>
    </row>
    <row r="21" spans="2:40" ht="14.25" x14ac:dyDescent="0.2">
      <c r="B21" s="204">
        <v>11</v>
      </c>
      <c r="C21" s="205" t="s">
        <v>315</v>
      </c>
      <c r="D21" s="207" t="s">
        <v>433</v>
      </c>
      <c r="E21" s="210">
        <f>SUM(E18:E20)</f>
        <v>0</v>
      </c>
      <c r="F21" s="210">
        <f t="shared" ref="F21:AN21" si="2">SUM(F18:F20)</f>
        <v>0</v>
      </c>
      <c r="G21" s="210">
        <f t="shared" si="2"/>
        <v>1.3651257000000001</v>
      </c>
      <c r="H21" s="210">
        <f t="shared" si="2"/>
        <v>0</v>
      </c>
      <c r="I21" s="210">
        <f t="shared" si="2"/>
        <v>0.33542759999999999</v>
      </c>
      <c r="J21" s="210">
        <f t="shared" si="2"/>
        <v>0</v>
      </c>
      <c r="K21" s="210">
        <f t="shared" si="2"/>
        <v>1.2871465</v>
      </c>
      <c r="L21" s="210">
        <f t="shared" si="2"/>
        <v>0</v>
      </c>
      <c r="M21" s="210">
        <f t="shared" si="2"/>
        <v>1.801955</v>
      </c>
      <c r="N21" s="210">
        <f t="shared" si="2"/>
        <v>0.78145039999999999</v>
      </c>
      <c r="O21" s="210">
        <f t="shared" si="2"/>
        <v>0.82483450000000003</v>
      </c>
      <c r="P21" s="210">
        <f t="shared" si="2"/>
        <v>0</v>
      </c>
      <c r="Q21" s="210">
        <f t="shared" si="2"/>
        <v>0.63590990000000003</v>
      </c>
      <c r="R21" s="210">
        <f t="shared" si="2"/>
        <v>0.37490620000000002</v>
      </c>
      <c r="S21" s="210">
        <f t="shared" si="2"/>
        <v>0.66417780000000004</v>
      </c>
      <c r="T21" s="210">
        <f t="shared" si="2"/>
        <v>0</v>
      </c>
      <c r="U21" s="210">
        <f t="shared" si="2"/>
        <v>0</v>
      </c>
      <c r="V21" s="210">
        <f t="shared" si="2"/>
        <v>0</v>
      </c>
      <c r="W21" s="210">
        <f t="shared" si="2"/>
        <v>1.2706875</v>
      </c>
      <c r="X21" s="210">
        <f t="shared" si="2"/>
        <v>1.5812809000000001</v>
      </c>
      <c r="Y21" s="210">
        <f t="shared" si="2"/>
        <v>0</v>
      </c>
      <c r="Z21" s="210">
        <f t="shared" si="2"/>
        <v>0.41509180000000001</v>
      </c>
      <c r="AA21" s="210">
        <f t="shared" si="2"/>
        <v>0</v>
      </c>
      <c r="AB21" s="210">
        <f t="shared" si="2"/>
        <v>0</v>
      </c>
      <c r="AC21" s="210">
        <f t="shared" si="2"/>
        <v>0</v>
      </c>
      <c r="AD21" s="210">
        <f t="shared" si="2"/>
        <v>0</v>
      </c>
      <c r="AE21" s="210">
        <f t="shared" si="2"/>
        <v>1.214291</v>
      </c>
      <c r="AF21" s="210">
        <f t="shared" si="2"/>
        <v>0.34514260000000002</v>
      </c>
      <c r="AG21" s="210">
        <f t="shared" si="2"/>
        <v>0.6699157</v>
      </c>
      <c r="AH21" s="210">
        <f t="shared" si="2"/>
        <v>0.35133239999999999</v>
      </c>
      <c r="AI21" s="210">
        <f t="shared" si="2"/>
        <v>0.30675330000000001</v>
      </c>
      <c r="AJ21" s="210">
        <f t="shared" si="2"/>
        <v>0.41043560000000001</v>
      </c>
      <c r="AK21" s="210">
        <f t="shared" si="2"/>
        <v>0.95322150000000005</v>
      </c>
      <c r="AL21" s="210">
        <f t="shared" si="2"/>
        <v>0</v>
      </c>
      <c r="AM21" s="210">
        <f t="shared" si="2"/>
        <v>2.4687152999999999</v>
      </c>
      <c r="AN21" s="210">
        <f t="shared" si="2"/>
        <v>0.76620279999999996</v>
      </c>
    </row>
    <row r="22" spans="2:40" ht="15" x14ac:dyDescent="0.2">
      <c r="B22" s="200" t="s">
        <v>316</v>
      </c>
      <c r="C22" s="203" t="s">
        <v>317</v>
      </c>
      <c r="D22" s="207"/>
      <c r="E22" s="211"/>
      <c r="F22" s="211"/>
      <c r="G22" s="211"/>
      <c r="H22" s="211"/>
      <c r="I22" s="211"/>
      <c r="J22" s="211"/>
      <c r="K22" s="211"/>
      <c r="L22" s="211"/>
      <c r="M22" s="211"/>
      <c r="N22" s="211"/>
      <c r="O22" s="211"/>
      <c r="P22" s="211"/>
      <c r="Q22" s="211"/>
      <c r="R22" s="211"/>
      <c r="S22" s="211"/>
      <c r="T22" s="211"/>
      <c r="U22" s="211"/>
      <c r="V22" s="211"/>
      <c r="W22" s="181"/>
      <c r="X22" s="181"/>
      <c r="Y22" s="181"/>
      <c r="Z22" s="181"/>
      <c r="AA22" s="181"/>
      <c r="AB22" s="181"/>
      <c r="AC22" s="181"/>
      <c r="AD22" s="181"/>
      <c r="AE22" s="181"/>
      <c r="AF22" s="181"/>
      <c r="AG22" s="181"/>
      <c r="AH22" s="181"/>
      <c r="AI22" s="181"/>
      <c r="AJ22" s="181"/>
      <c r="AK22" s="181"/>
      <c r="AL22" s="181"/>
      <c r="AM22" s="181"/>
      <c r="AN22" s="181"/>
    </row>
    <row r="23" spans="2:40" ht="14.25" x14ac:dyDescent="0.2">
      <c r="B23" s="204">
        <v>12</v>
      </c>
      <c r="C23" s="205" t="s">
        <v>318</v>
      </c>
      <c r="D23" s="207"/>
      <c r="E23" s="211"/>
      <c r="F23" s="211"/>
      <c r="G23" s="211"/>
      <c r="H23" s="211"/>
      <c r="I23" s="211"/>
      <c r="J23" s="211"/>
      <c r="K23" s="211"/>
      <c r="L23" s="211"/>
      <c r="M23" s="211"/>
      <c r="N23" s="211"/>
      <c r="O23" s="211"/>
      <c r="P23" s="211"/>
      <c r="Q23" s="211"/>
      <c r="R23" s="211"/>
      <c r="S23" s="211"/>
      <c r="T23" s="211"/>
      <c r="U23" s="211"/>
      <c r="V23" s="211"/>
      <c r="W23" s="181"/>
      <c r="X23" s="181"/>
      <c r="Y23" s="181"/>
      <c r="Z23" s="181"/>
      <c r="AA23" s="181"/>
      <c r="AB23" s="181"/>
      <c r="AC23" s="181"/>
      <c r="AD23" s="181"/>
      <c r="AE23" s="181"/>
      <c r="AF23" s="181"/>
      <c r="AG23" s="181"/>
      <c r="AH23" s="181"/>
      <c r="AI23" s="181"/>
      <c r="AJ23" s="181"/>
      <c r="AK23" s="181"/>
      <c r="AL23" s="181"/>
      <c r="AM23" s="181"/>
      <c r="AN23" s="181"/>
    </row>
    <row r="24" spans="2:40" ht="14.25" x14ac:dyDescent="0.2">
      <c r="B24" s="204"/>
      <c r="C24" s="205" t="s">
        <v>319</v>
      </c>
      <c r="D24" s="207" t="s">
        <v>433</v>
      </c>
      <c r="E24" s="211"/>
      <c r="F24" s="211"/>
      <c r="G24" s="211"/>
      <c r="H24" s="211"/>
      <c r="I24" s="211"/>
      <c r="J24" s="211"/>
      <c r="K24" s="211"/>
      <c r="L24" s="211"/>
      <c r="M24" s="211"/>
      <c r="N24" s="211"/>
      <c r="O24" s="211"/>
      <c r="P24" s="211"/>
      <c r="Q24" s="211"/>
      <c r="R24" s="211"/>
      <c r="S24" s="211"/>
      <c r="T24" s="211"/>
      <c r="U24" s="211"/>
      <c r="V24" s="211"/>
      <c r="W24" s="181"/>
      <c r="X24" s="181"/>
      <c r="Y24" s="181"/>
      <c r="Z24" s="181"/>
      <c r="AA24" s="181"/>
      <c r="AB24" s="181"/>
      <c r="AC24" s="181"/>
      <c r="AD24" s="181"/>
      <c r="AE24" s="181"/>
      <c r="AF24" s="181"/>
      <c r="AG24" s="181"/>
      <c r="AH24" s="181"/>
      <c r="AI24" s="181"/>
      <c r="AJ24" s="181"/>
      <c r="AK24" s="181"/>
      <c r="AL24" s="181"/>
      <c r="AM24" s="181"/>
      <c r="AN24" s="181"/>
    </row>
    <row r="25" spans="2:40" ht="14.25" x14ac:dyDescent="0.2">
      <c r="B25" s="204"/>
      <c r="C25" s="205" t="s">
        <v>320</v>
      </c>
      <c r="D25" s="207" t="s">
        <v>433</v>
      </c>
      <c r="E25" s="211"/>
      <c r="F25" s="211"/>
      <c r="G25" s="211"/>
      <c r="H25" s="211"/>
      <c r="I25" s="211"/>
      <c r="J25" s="211"/>
      <c r="K25" s="211"/>
      <c r="L25" s="211"/>
      <c r="M25" s="211"/>
      <c r="N25" s="211"/>
      <c r="O25" s="211"/>
      <c r="P25" s="211"/>
      <c r="Q25" s="211"/>
      <c r="R25" s="211"/>
      <c r="S25" s="211"/>
      <c r="T25" s="211"/>
      <c r="U25" s="211"/>
      <c r="V25" s="211"/>
      <c r="W25" s="181"/>
      <c r="X25" s="181"/>
      <c r="Y25" s="181"/>
      <c r="Z25" s="181"/>
      <c r="AA25" s="181"/>
      <c r="AB25" s="181"/>
      <c r="AC25" s="181"/>
      <c r="AD25" s="181"/>
      <c r="AE25" s="181"/>
      <c r="AF25" s="181"/>
      <c r="AG25" s="181"/>
      <c r="AH25" s="181"/>
      <c r="AI25" s="181"/>
      <c r="AJ25" s="181"/>
      <c r="AK25" s="181"/>
      <c r="AL25" s="181"/>
      <c r="AM25" s="181"/>
      <c r="AN25" s="181"/>
    </row>
    <row r="26" spans="2:40" ht="14.25" x14ac:dyDescent="0.2">
      <c r="B26" s="204"/>
      <c r="C26" s="205" t="s">
        <v>321</v>
      </c>
      <c r="D26" s="207" t="s">
        <v>433</v>
      </c>
      <c r="E26" s="211"/>
      <c r="F26" s="211"/>
      <c r="G26" s="211"/>
      <c r="H26" s="211"/>
      <c r="I26" s="211"/>
      <c r="J26" s="211"/>
      <c r="K26" s="211"/>
      <c r="L26" s="211"/>
      <c r="M26" s="211"/>
      <c r="N26" s="211"/>
      <c r="O26" s="211"/>
      <c r="P26" s="211"/>
      <c r="Q26" s="211"/>
      <c r="R26" s="211"/>
      <c r="S26" s="211"/>
      <c r="T26" s="211"/>
      <c r="U26" s="211"/>
      <c r="V26" s="211"/>
      <c r="W26" s="181"/>
      <c r="X26" s="181"/>
      <c r="Y26" s="181"/>
      <c r="Z26" s="181"/>
      <c r="AA26" s="181"/>
      <c r="AB26" s="181"/>
      <c r="AC26" s="181"/>
      <c r="AD26" s="181"/>
      <c r="AE26" s="181"/>
      <c r="AF26" s="181"/>
      <c r="AG26" s="181"/>
      <c r="AH26" s="181"/>
      <c r="AI26" s="181"/>
      <c r="AJ26" s="181"/>
      <c r="AK26" s="181"/>
      <c r="AL26" s="181"/>
      <c r="AM26" s="181"/>
      <c r="AN26" s="181"/>
    </row>
    <row r="27" spans="2:40" ht="14.25" x14ac:dyDescent="0.2">
      <c r="B27" s="204"/>
      <c r="C27" s="205" t="s">
        <v>9</v>
      </c>
      <c r="D27" s="207" t="s">
        <v>433</v>
      </c>
      <c r="E27" s="211"/>
      <c r="F27" s="211"/>
      <c r="G27" s="211"/>
      <c r="H27" s="211"/>
      <c r="I27" s="211"/>
      <c r="J27" s="211"/>
      <c r="K27" s="211"/>
      <c r="L27" s="211"/>
      <c r="M27" s="211"/>
      <c r="N27" s="211"/>
      <c r="O27" s="211"/>
      <c r="P27" s="211"/>
      <c r="Q27" s="211"/>
      <c r="R27" s="211"/>
      <c r="S27" s="211"/>
      <c r="T27" s="211"/>
      <c r="U27" s="211"/>
      <c r="V27" s="211"/>
      <c r="W27" s="181"/>
      <c r="X27" s="181"/>
      <c r="Y27" s="181"/>
      <c r="Z27" s="181"/>
      <c r="AA27" s="181"/>
      <c r="AB27" s="181"/>
      <c r="AC27" s="181"/>
      <c r="AD27" s="181"/>
      <c r="AE27" s="181"/>
      <c r="AF27" s="181"/>
      <c r="AG27" s="181"/>
      <c r="AH27" s="181"/>
      <c r="AI27" s="181"/>
      <c r="AJ27" s="181"/>
      <c r="AK27" s="181"/>
      <c r="AL27" s="181"/>
      <c r="AM27" s="181"/>
      <c r="AN27" s="181"/>
    </row>
    <row r="28" spans="2:40" ht="14.25" x14ac:dyDescent="0.2">
      <c r="B28" s="204">
        <v>13</v>
      </c>
      <c r="C28" s="205" t="s">
        <v>440</v>
      </c>
      <c r="D28" s="207" t="s">
        <v>433</v>
      </c>
      <c r="E28" s="211"/>
      <c r="F28" s="211"/>
      <c r="G28" s="211"/>
      <c r="H28" s="211"/>
      <c r="I28" s="211"/>
      <c r="J28" s="211"/>
      <c r="K28" s="211"/>
      <c r="L28" s="211"/>
      <c r="M28" s="211"/>
      <c r="N28" s="211"/>
      <c r="O28" s="211"/>
      <c r="P28" s="211"/>
      <c r="Q28" s="211"/>
      <c r="R28" s="211"/>
      <c r="S28" s="211"/>
      <c r="T28" s="211"/>
      <c r="U28" s="211"/>
      <c r="V28" s="211"/>
      <c r="W28" s="181"/>
      <c r="X28" s="181"/>
      <c r="Y28" s="181"/>
      <c r="Z28" s="181"/>
      <c r="AA28" s="181"/>
      <c r="AB28" s="181"/>
      <c r="AC28" s="181"/>
      <c r="AD28" s="181"/>
      <c r="AE28" s="181"/>
      <c r="AF28" s="181"/>
      <c r="AG28" s="181"/>
      <c r="AH28" s="181"/>
      <c r="AI28" s="181"/>
      <c r="AJ28" s="181"/>
      <c r="AK28" s="181"/>
      <c r="AL28" s="181"/>
      <c r="AM28" s="181"/>
      <c r="AN28" s="181"/>
    </row>
    <row r="29" spans="2:40" ht="14.25" x14ac:dyDescent="0.2">
      <c r="B29" s="204">
        <v>14</v>
      </c>
      <c r="C29" s="205" t="s">
        <v>323</v>
      </c>
      <c r="D29" s="207" t="s">
        <v>433</v>
      </c>
      <c r="E29" s="211"/>
      <c r="F29" s="211"/>
      <c r="G29" s="211"/>
      <c r="H29" s="211"/>
      <c r="I29" s="211"/>
      <c r="J29" s="211"/>
      <c r="K29" s="211"/>
      <c r="L29" s="211"/>
      <c r="M29" s="211"/>
      <c r="N29" s="211"/>
      <c r="O29" s="211"/>
      <c r="P29" s="211"/>
      <c r="Q29" s="211"/>
      <c r="R29" s="211"/>
      <c r="S29" s="211"/>
      <c r="T29" s="211"/>
      <c r="U29" s="211"/>
      <c r="V29" s="211"/>
      <c r="W29" s="181"/>
      <c r="X29" s="181"/>
      <c r="Y29" s="181"/>
      <c r="Z29" s="181"/>
      <c r="AA29" s="181"/>
      <c r="AB29" s="181"/>
      <c r="AC29" s="181"/>
      <c r="AD29" s="181"/>
      <c r="AE29" s="181"/>
      <c r="AF29" s="181"/>
      <c r="AG29" s="181"/>
      <c r="AH29" s="181"/>
      <c r="AI29" s="181"/>
      <c r="AJ29" s="181"/>
      <c r="AK29" s="181"/>
      <c r="AL29" s="181"/>
      <c r="AM29" s="181"/>
      <c r="AN29" s="181"/>
    </row>
    <row r="30" spans="2:40" ht="21.75" customHeight="1" x14ac:dyDescent="0.2">
      <c r="B30" s="204">
        <v>15</v>
      </c>
      <c r="C30" s="205" t="s">
        <v>441</v>
      </c>
      <c r="D30" s="207" t="s">
        <v>433</v>
      </c>
      <c r="E30" s="211"/>
      <c r="F30" s="211"/>
      <c r="G30" s="211"/>
      <c r="H30" s="211"/>
      <c r="I30" s="211"/>
      <c r="J30" s="211"/>
      <c r="K30" s="211"/>
      <c r="L30" s="211"/>
      <c r="M30" s="211"/>
      <c r="N30" s="211"/>
      <c r="O30" s="211"/>
      <c r="P30" s="211"/>
      <c r="Q30" s="211"/>
      <c r="R30" s="211"/>
      <c r="S30" s="211"/>
      <c r="T30" s="211"/>
      <c r="U30" s="211"/>
      <c r="V30" s="211"/>
      <c r="W30" s="181"/>
      <c r="X30" s="181"/>
      <c r="Y30" s="181"/>
      <c r="Z30" s="181"/>
      <c r="AA30" s="181"/>
      <c r="AB30" s="181"/>
      <c r="AC30" s="181"/>
      <c r="AD30" s="181"/>
      <c r="AE30" s="181"/>
      <c r="AF30" s="181"/>
      <c r="AG30" s="181"/>
      <c r="AH30" s="181"/>
      <c r="AI30" s="181"/>
      <c r="AJ30" s="181"/>
      <c r="AK30" s="181"/>
      <c r="AL30" s="181"/>
      <c r="AM30" s="181"/>
      <c r="AN30" s="181"/>
    </row>
    <row r="31" spans="2:40" ht="14.25" x14ac:dyDescent="0.2">
      <c r="B31" s="204">
        <v>16</v>
      </c>
      <c r="C31" s="205" t="s">
        <v>324</v>
      </c>
      <c r="D31" s="207" t="s">
        <v>433</v>
      </c>
      <c r="E31" s="210">
        <f>E24+E25+E26+E27+E28+E29+E30</f>
        <v>0</v>
      </c>
      <c r="F31" s="210">
        <f t="shared" ref="F31:AN31" si="3">F24+F25+F26+F27+F28+F29+F30</f>
        <v>0</v>
      </c>
      <c r="G31" s="210">
        <f t="shared" si="3"/>
        <v>0</v>
      </c>
      <c r="H31" s="210">
        <f t="shared" si="3"/>
        <v>0</v>
      </c>
      <c r="I31" s="210">
        <f t="shared" si="3"/>
        <v>0</v>
      </c>
      <c r="J31" s="210">
        <f t="shared" si="3"/>
        <v>0</v>
      </c>
      <c r="K31" s="210">
        <f t="shared" si="3"/>
        <v>0</v>
      </c>
      <c r="L31" s="210">
        <f t="shared" si="3"/>
        <v>0</v>
      </c>
      <c r="M31" s="210">
        <f t="shared" si="3"/>
        <v>0</v>
      </c>
      <c r="N31" s="210">
        <f t="shared" si="3"/>
        <v>0</v>
      </c>
      <c r="O31" s="210">
        <f t="shared" si="3"/>
        <v>0</v>
      </c>
      <c r="P31" s="210">
        <f t="shared" si="3"/>
        <v>0</v>
      </c>
      <c r="Q31" s="210">
        <f t="shared" si="3"/>
        <v>0</v>
      </c>
      <c r="R31" s="210">
        <f t="shared" si="3"/>
        <v>0</v>
      </c>
      <c r="S31" s="210">
        <f t="shared" si="3"/>
        <v>0</v>
      </c>
      <c r="T31" s="210">
        <f t="shared" si="3"/>
        <v>0</v>
      </c>
      <c r="U31" s="210">
        <f t="shared" si="3"/>
        <v>0</v>
      </c>
      <c r="V31" s="210">
        <f t="shared" si="3"/>
        <v>0</v>
      </c>
      <c r="W31" s="210">
        <f t="shared" si="3"/>
        <v>0</v>
      </c>
      <c r="X31" s="210">
        <f t="shared" si="3"/>
        <v>0</v>
      </c>
      <c r="Y31" s="210">
        <f t="shared" si="3"/>
        <v>0</v>
      </c>
      <c r="Z31" s="210">
        <f t="shared" si="3"/>
        <v>0</v>
      </c>
      <c r="AA31" s="210">
        <f t="shared" si="3"/>
        <v>0</v>
      </c>
      <c r="AB31" s="210">
        <f t="shared" si="3"/>
        <v>0</v>
      </c>
      <c r="AC31" s="210">
        <f t="shared" si="3"/>
        <v>0</v>
      </c>
      <c r="AD31" s="210">
        <f t="shared" si="3"/>
        <v>0</v>
      </c>
      <c r="AE31" s="210">
        <f t="shared" si="3"/>
        <v>0</v>
      </c>
      <c r="AF31" s="210">
        <f t="shared" si="3"/>
        <v>0</v>
      </c>
      <c r="AG31" s="210">
        <f t="shared" si="3"/>
        <v>0</v>
      </c>
      <c r="AH31" s="210">
        <f t="shared" si="3"/>
        <v>0</v>
      </c>
      <c r="AI31" s="210">
        <f t="shared" si="3"/>
        <v>0</v>
      </c>
      <c r="AJ31" s="210">
        <f t="shared" si="3"/>
        <v>0</v>
      </c>
      <c r="AK31" s="210">
        <f t="shared" si="3"/>
        <v>0</v>
      </c>
      <c r="AL31" s="210">
        <f t="shared" si="3"/>
        <v>0</v>
      </c>
      <c r="AM31" s="210">
        <f t="shared" si="3"/>
        <v>0</v>
      </c>
      <c r="AN31" s="210">
        <f t="shared" si="3"/>
        <v>0</v>
      </c>
    </row>
    <row r="32" spans="2:40" ht="14.25" x14ac:dyDescent="0.2">
      <c r="B32" s="204">
        <v>17</v>
      </c>
      <c r="C32" s="205" t="s">
        <v>442</v>
      </c>
      <c r="D32" s="207" t="s">
        <v>433</v>
      </c>
      <c r="E32" s="210">
        <f>E21+E31</f>
        <v>0</v>
      </c>
      <c r="F32" s="210">
        <f t="shared" ref="F32:AN32" si="4">F21+F31</f>
        <v>0</v>
      </c>
      <c r="G32" s="210">
        <f t="shared" si="4"/>
        <v>1.3651257000000001</v>
      </c>
      <c r="H32" s="210">
        <f t="shared" si="4"/>
        <v>0</v>
      </c>
      <c r="I32" s="210">
        <f t="shared" si="4"/>
        <v>0.33542759999999999</v>
      </c>
      <c r="J32" s="210">
        <f t="shared" si="4"/>
        <v>0</v>
      </c>
      <c r="K32" s="210">
        <f t="shared" si="4"/>
        <v>1.2871465</v>
      </c>
      <c r="L32" s="210">
        <f t="shared" si="4"/>
        <v>0</v>
      </c>
      <c r="M32" s="210">
        <f t="shared" si="4"/>
        <v>1.801955</v>
      </c>
      <c r="N32" s="210">
        <f t="shared" si="4"/>
        <v>0.78145039999999999</v>
      </c>
      <c r="O32" s="210">
        <f t="shared" si="4"/>
        <v>0.82483450000000003</v>
      </c>
      <c r="P32" s="210">
        <f t="shared" si="4"/>
        <v>0</v>
      </c>
      <c r="Q32" s="210">
        <f t="shared" si="4"/>
        <v>0.63590990000000003</v>
      </c>
      <c r="R32" s="210">
        <f t="shared" si="4"/>
        <v>0.37490620000000002</v>
      </c>
      <c r="S32" s="210">
        <f t="shared" si="4"/>
        <v>0.66417780000000004</v>
      </c>
      <c r="T32" s="210">
        <f t="shared" si="4"/>
        <v>0</v>
      </c>
      <c r="U32" s="210">
        <f t="shared" si="4"/>
        <v>0</v>
      </c>
      <c r="V32" s="210">
        <f t="shared" si="4"/>
        <v>0</v>
      </c>
      <c r="W32" s="210">
        <f t="shared" si="4"/>
        <v>1.2706875</v>
      </c>
      <c r="X32" s="210">
        <f t="shared" si="4"/>
        <v>1.5812809000000001</v>
      </c>
      <c r="Y32" s="210">
        <f t="shared" si="4"/>
        <v>0</v>
      </c>
      <c r="Z32" s="210">
        <f t="shared" si="4"/>
        <v>0.41509180000000001</v>
      </c>
      <c r="AA32" s="210">
        <f t="shared" si="4"/>
        <v>0</v>
      </c>
      <c r="AB32" s="210">
        <f t="shared" si="4"/>
        <v>0</v>
      </c>
      <c r="AC32" s="210">
        <f t="shared" si="4"/>
        <v>0</v>
      </c>
      <c r="AD32" s="210">
        <f t="shared" si="4"/>
        <v>0</v>
      </c>
      <c r="AE32" s="210">
        <f t="shared" si="4"/>
        <v>1.214291</v>
      </c>
      <c r="AF32" s="210">
        <f t="shared" si="4"/>
        <v>0.34514260000000002</v>
      </c>
      <c r="AG32" s="210">
        <f t="shared" si="4"/>
        <v>0.6699157</v>
      </c>
      <c r="AH32" s="210">
        <f t="shared" si="4"/>
        <v>0.35133239999999999</v>
      </c>
      <c r="AI32" s="210">
        <f t="shared" si="4"/>
        <v>0.30675330000000001</v>
      </c>
      <c r="AJ32" s="210">
        <f t="shared" si="4"/>
        <v>0.41043560000000001</v>
      </c>
      <c r="AK32" s="210">
        <f t="shared" si="4"/>
        <v>0.95322150000000005</v>
      </c>
      <c r="AL32" s="210">
        <f t="shared" si="4"/>
        <v>0</v>
      </c>
      <c r="AM32" s="210">
        <f t="shared" si="4"/>
        <v>2.4687152999999999</v>
      </c>
      <c r="AN32" s="210">
        <f t="shared" si="4"/>
        <v>0.76620279999999996</v>
      </c>
    </row>
    <row r="33" spans="2:40" ht="15" x14ac:dyDescent="0.2">
      <c r="B33" s="200" t="s">
        <v>326</v>
      </c>
      <c r="C33" s="203" t="s">
        <v>189</v>
      </c>
      <c r="D33" s="207"/>
      <c r="E33" s="208"/>
      <c r="F33" s="208"/>
      <c r="G33" s="208"/>
      <c r="H33" s="208"/>
      <c r="I33" s="208"/>
      <c r="J33" s="208"/>
      <c r="K33" s="208"/>
      <c r="L33" s="208"/>
      <c r="M33" s="208"/>
      <c r="N33" s="208"/>
      <c r="O33" s="208"/>
      <c r="P33" s="208"/>
      <c r="Q33" s="208"/>
      <c r="R33" s="208"/>
      <c r="S33" s="208"/>
      <c r="T33" s="208"/>
      <c r="U33" s="208"/>
      <c r="V33" s="208"/>
      <c r="W33" s="181"/>
      <c r="X33" s="181"/>
      <c r="Y33" s="181"/>
      <c r="Z33" s="181"/>
      <c r="AA33" s="181"/>
      <c r="AB33" s="181"/>
      <c r="AC33" s="181"/>
      <c r="AD33" s="181"/>
      <c r="AE33" s="181"/>
      <c r="AF33" s="181"/>
      <c r="AG33" s="181"/>
      <c r="AH33" s="181"/>
      <c r="AI33" s="181"/>
      <c r="AJ33" s="181"/>
      <c r="AK33" s="181"/>
      <c r="AL33" s="181"/>
      <c r="AM33" s="181"/>
      <c r="AN33" s="181"/>
    </row>
    <row r="34" spans="2:40" ht="14.25" x14ac:dyDescent="0.2">
      <c r="B34" s="204">
        <v>18</v>
      </c>
      <c r="C34" s="205" t="s">
        <v>443</v>
      </c>
      <c r="D34" s="207" t="s">
        <v>444</v>
      </c>
      <c r="E34" s="210">
        <f>(E10+E32)/(E9+E16)*10000000</f>
        <v>62741.691508847085</v>
      </c>
      <c r="F34" s="210">
        <f t="shared" ref="F34:AN34" si="5">(F10+F32)/(F9+F16)*10000000</f>
        <v>84820.828493764653</v>
      </c>
      <c r="G34" s="210">
        <f t="shared" si="5"/>
        <v>63291.888714207598</v>
      </c>
      <c r="H34" s="210">
        <f t="shared" si="5"/>
        <v>84820.828493764653</v>
      </c>
      <c r="I34" s="210">
        <f t="shared" si="5"/>
        <v>63469.272302155441</v>
      </c>
      <c r="J34" s="210">
        <f t="shared" si="5"/>
        <v>84820.828493764653</v>
      </c>
      <c r="K34" s="210">
        <f t="shared" si="5"/>
        <v>63846.652617727334</v>
      </c>
      <c r="L34" s="210">
        <f t="shared" si="5"/>
        <v>84820.828493764653</v>
      </c>
      <c r="M34" s="210">
        <f t="shared" si="5"/>
        <v>63979.304183169406</v>
      </c>
      <c r="N34" s="210">
        <f t="shared" si="5"/>
        <v>83489.053684854982</v>
      </c>
      <c r="O34" s="210">
        <f t="shared" si="5"/>
        <v>63910.932355189172</v>
      </c>
      <c r="P34" s="210">
        <f t="shared" si="5"/>
        <v>83489.053684854982</v>
      </c>
      <c r="Q34" s="210">
        <f t="shared" si="5"/>
        <v>63934.92737533991</v>
      </c>
      <c r="R34" s="210">
        <f t="shared" si="5"/>
        <v>82305.720070816154</v>
      </c>
      <c r="S34" s="210">
        <f t="shared" si="5"/>
        <v>63895.985125551742</v>
      </c>
      <c r="T34" s="210">
        <f t="shared" si="5"/>
        <v>82305.720070816154</v>
      </c>
      <c r="U34" s="210">
        <f t="shared" si="5"/>
        <v>63895.985125551742</v>
      </c>
      <c r="V34" s="210">
        <f t="shared" si="5"/>
        <v>82305.720070816154</v>
      </c>
      <c r="W34" s="210">
        <f t="shared" si="5"/>
        <v>64093.577655600304</v>
      </c>
      <c r="X34" s="210">
        <f t="shared" si="5"/>
        <v>80799.837007087248</v>
      </c>
      <c r="Y34" s="210">
        <f t="shared" si="5"/>
        <v>64093.577655600304</v>
      </c>
      <c r="Z34" s="210">
        <f t="shared" si="5"/>
        <v>81105.851997033446</v>
      </c>
      <c r="AA34" s="210">
        <f t="shared" si="5"/>
        <v>64093.577655600304</v>
      </c>
      <c r="AB34" s="210">
        <f t="shared" si="5"/>
        <v>81105.851997033446</v>
      </c>
      <c r="AC34" s="210">
        <f t="shared" si="5"/>
        <v>64093.577655600442</v>
      </c>
      <c r="AD34" s="210">
        <f t="shared" si="5"/>
        <v>81105.851997033271</v>
      </c>
      <c r="AE34" s="210">
        <f t="shared" si="5"/>
        <v>63602.398759395204</v>
      </c>
      <c r="AF34" s="210">
        <f t="shared" si="5"/>
        <v>79437.020713762133</v>
      </c>
      <c r="AG34" s="210">
        <f t="shared" si="5"/>
        <v>63480.863855838899</v>
      </c>
      <c r="AH34" s="210">
        <f t="shared" si="5"/>
        <v>78191.747487627028</v>
      </c>
      <c r="AI34" s="210">
        <f t="shared" si="5"/>
        <v>63457.350007812005</v>
      </c>
      <c r="AJ34" s="210">
        <f t="shared" si="5"/>
        <v>78095.645914903187</v>
      </c>
      <c r="AK34" s="210">
        <f t="shared" si="5"/>
        <v>63439.11113118197</v>
      </c>
      <c r="AL34" s="210">
        <f t="shared" si="5"/>
        <v>78095.645914903187</v>
      </c>
      <c r="AM34" s="210">
        <f t="shared" si="5"/>
        <v>63076.000134937327</v>
      </c>
      <c r="AN34" s="210">
        <f t="shared" si="5"/>
        <v>78117.722542557924</v>
      </c>
    </row>
    <row r="35" spans="2:40" ht="14.25" x14ac:dyDescent="0.2">
      <c r="B35" s="204">
        <v>19</v>
      </c>
      <c r="C35" s="205" t="s">
        <v>329</v>
      </c>
      <c r="D35" s="207"/>
      <c r="E35" s="210"/>
      <c r="F35" s="210"/>
      <c r="G35" s="210"/>
      <c r="H35" s="210"/>
      <c r="I35" s="210"/>
      <c r="J35" s="210"/>
      <c r="K35" s="210"/>
      <c r="L35" s="210"/>
      <c r="M35" s="210"/>
      <c r="N35" s="210"/>
      <c r="O35" s="210"/>
      <c r="P35" s="210"/>
      <c r="Q35" s="210"/>
      <c r="R35" s="210"/>
      <c r="S35" s="210"/>
      <c r="T35" s="210"/>
      <c r="U35" s="210"/>
      <c r="V35" s="210"/>
      <c r="W35" s="212"/>
      <c r="X35" s="212"/>
      <c r="Y35" s="212"/>
      <c r="Z35" s="212"/>
      <c r="AA35" s="212"/>
      <c r="AB35" s="212"/>
      <c r="AC35" s="181"/>
      <c r="AD35" s="181"/>
      <c r="AE35" s="181"/>
      <c r="AF35" s="181"/>
      <c r="AG35" s="181"/>
      <c r="AH35" s="181"/>
      <c r="AI35" s="181"/>
      <c r="AJ35" s="181"/>
      <c r="AK35" s="181"/>
      <c r="AL35" s="181"/>
      <c r="AM35" s="181"/>
      <c r="AN35" s="181"/>
    </row>
    <row r="36" spans="2:40" ht="14.25" x14ac:dyDescent="0.2">
      <c r="B36" s="204">
        <v>20</v>
      </c>
      <c r="C36" s="205" t="s">
        <v>445</v>
      </c>
      <c r="D36" s="207" t="s">
        <v>444</v>
      </c>
      <c r="E36" s="208"/>
      <c r="F36" s="208"/>
      <c r="G36" s="208"/>
      <c r="H36" s="208"/>
      <c r="I36" s="208"/>
      <c r="J36" s="208"/>
      <c r="K36" s="208"/>
      <c r="L36" s="208"/>
      <c r="M36" s="208"/>
      <c r="N36" s="208"/>
      <c r="O36" s="208"/>
      <c r="P36" s="208"/>
      <c r="Q36" s="208"/>
      <c r="R36" s="208"/>
      <c r="S36" s="208"/>
      <c r="T36" s="208"/>
      <c r="U36" s="208"/>
      <c r="V36" s="208"/>
      <c r="W36" s="208"/>
      <c r="X36" s="208"/>
      <c r="Y36" s="208"/>
      <c r="Z36" s="208"/>
      <c r="AA36" s="208"/>
      <c r="AB36" s="208"/>
      <c r="AC36" s="212"/>
      <c r="AD36" s="212"/>
      <c r="AE36" s="212"/>
      <c r="AF36" s="212"/>
      <c r="AG36" s="212"/>
      <c r="AH36" s="212"/>
      <c r="AI36" s="212"/>
      <c r="AJ36" s="212"/>
      <c r="AK36" s="212"/>
      <c r="AL36" s="212"/>
      <c r="AM36" s="212"/>
      <c r="AN36" s="212"/>
    </row>
    <row r="37" spans="2:40" ht="15" x14ac:dyDescent="0.2">
      <c r="B37" s="200" t="s">
        <v>331</v>
      </c>
      <c r="C37" s="203" t="s">
        <v>332</v>
      </c>
      <c r="D37" s="207"/>
      <c r="E37" s="208"/>
      <c r="F37" s="208"/>
      <c r="G37" s="208"/>
      <c r="H37" s="208"/>
      <c r="I37" s="208"/>
      <c r="J37" s="208"/>
      <c r="K37" s="211"/>
      <c r="L37" s="211"/>
      <c r="M37" s="211"/>
      <c r="N37" s="211"/>
      <c r="O37" s="211"/>
      <c r="P37" s="211"/>
      <c r="Q37" s="211"/>
      <c r="R37" s="211"/>
      <c r="S37" s="211"/>
      <c r="T37" s="211"/>
      <c r="U37" s="211"/>
      <c r="V37" s="211"/>
      <c r="W37" s="181"/>
      <c r="X37" s="181"/>
      <c r="Y37" s="181"/>
      <c r="Z37" s="181"/>
      <c r="AA37" s="181"/>
      <c r="AB37" s="181"/>
      <c r="AC37" s="181"/>
      <c r="AD37" s="181"/>
      <c r="AE37" s="181"/>
      <c r="AF37" s="181"/>
      <c r="AG37" s="181"/>
      <c r="AH37" s="181"/>
      <c r="AI37" s="181"/>
      <c r="AJ37" s="181"/>
      <c r="AK37" s="181"/>
      <c r="AL37" s="181"/>
      <c r="AM37" s="181"/>
      <c r="AN37" s="181"/>
    </row>
    <row r="38" spans="2:40" ht="14.25" x14ac:dyDescent="0.2">
      <c r="B38" s="204">
        <v>21</v>
      </c>
      <c r="C38" s="205" t="s">
        <v>446</v>
      </c>
      <c r="D38" s="207" t="s">
        <v>447</v>
      </c>
      <c r="E38" s="208"/>
      <c r="F38" s="208"/>
      <c r="G38" s="208"/>
      <c r="H38" s="208"/>
      <c r="I38" s="208"/>
      <c r="J38" s="208"/>
      <c r="K38" s="211"/>
      <c r="L38" s="211"/>
      <c r="M38" s="211"/>
      <c r="N38" s="211"/>
      <c r="O38" s="211"/>
      <c r="P38" s="211"/>
      <c r="Q38" s="211"/>
      <c r="R38" s="211"/>
      <c r="S38" s="211"/>
      <c r="T38" s="211"/>
      <c r="U38" s="211"/>
      <c r="V38" s="211"/>
      <c r="W38" s="181"/>
      <c r="X38" s="181"/>
      <c r="Y38" s="181"/>
      <c r="Z38" s="181"/>
      <c r="AA38" s="181"/>
      <c r="AB38" s="181"/>
      <c r="AC38" s="181"/>
      <c r="AD38" s="181"/>
      <c r="AE38" s="181"/>
      <c r="AF38" s="181"/>
      <c r="AG38" s="181"/>
      <c r="AH38" s="181"/>
      <c r="AI38" s="181"/>
      <c r="AJ38" s="181"/>
      <c r="AK38" s="181"/>
      <c r="AL38" s="181"/>
      <c r="AM38" s="181"/>
      <c r="AN38" s="181"/>
    </row>
    <row r="39" spans="2:40" ht="14.25" x14ac:dyDescent="0.2">
      <c r="B39" s="204">
        <v>22</v>
      </c>
      <c r="C39" s="205" t="s">
        <v>448</v>
      </c>
      <c r="D39" s="207" t="s">
        <v>447</v>
      </c>
      <c r="E39" s="208"/>
      <c r="F39" s="208"/>
      <c r="G39" s="208"/>
      <c r="H39" s="208"/>
      <c r="I39" s="208"/>
      <c r="J39" s="208"/>
      <c r="K39" s="211"/>
      <c r="L39" s="211"/>
      <c r="M39" s="211"/>
      <c r="N39" s="211"/>
      <c r="O39" s="211"/>
      <c r="P39" s="211"/>
      <c r="Q39" s="211"/>
      <c r="R39" s="211"/>
      <c r="S39" s="211"/>
      <c r="T39" s="211"/>
      <c r="U39" s="211"/>
      <c r="V39" s="211"/>
      <c r="W39" s="181"/>
      <c r="X39" s="181"/>
      <c r="Y39" s="181"/>
      <c r="Z39" s="181"/>
      <c r="AA39" s="181"/>
      <c r="AB39" s="181"/>
      <c r="AC39" s="181"/>
      <c r="AD39" s="181"/>
      <c r="AE39" s="181"/>
      <c r="AF39" s="181"/>
      <c r="AG39" s="181"/>
      <c r="AH39" s="181"/>
      <c r="AI39" s="181"/>
      <c r="AJ39" s="181"/>
      <c r="AK39" s="181"/>
      <c r="AL39" s="181"/>
      <c r="AM39" s="181"/>
      <c r="AN39" s="181"/>
    </row>
    <row r="40" spans="2:40" ht="14.25" x14ac:dyDescent="0.2">
      <c r="B40" s="204">
        <v>23</v>
      </c>
      <c r="C40" s="205" t="s">
        <v>449</v>
      </c>
      <c r="D40" s="207" t="s">
        <v>447</v>
      </c>
      <c r="E40" s="208"/>
      <c r="F40" s="208"/>
      <c r="G40" s="208"/>
      <c r="H40" s="208"/>
      <c r="I40" s="208"/>
      <c r="J40" s="208"/>
      <c r="K40" s="211"/>
      <c r="L40" s="211"/>
      <c r="M40" s="211"/>
      <c r="N40" s="211"/>
      <c r="O40" s="211"/>
      <c r="P40" s="211"/>
      <c r="Q40" s="211"/>
      <c r="R40" s="211"/>
      <c r="S40" s="211"/>
      <c r="T40" s="211"/>
      <c r="U40" s="211"/>
      <c r="V40" s="211"/>
      <c r="W40" s="181"/>
      <c r="X40" s="181"/>
      <c r="Y40" s="181"/>
      <c r="Z40" s="181"/>
      <c r="AA40" s="181"/>
      <c r="AB40" s="181"/>
      <c r="AC40" s="181"/>
      <c r="AD40" s="181"/>
      <c r="AE40" s="181"/>
      <c r="AF40" s="181"/>
      <c r="AG40" s="181"/>
      <c r="AH40" s="181"/>
      <c r="AI40" s="181"/>
      <c r="AJ40" s="181"/>
      <c r="AK40" s="181"/>
      <c r="AL40" s="181"/>
      <c r="AM40" s="181"/>
      <c r="AN40" s="181"/>
    </row>
    <row r="41" spans="2:40" ht="14.25" x14ac:dyDescent="0.2">
      <c r="B41" s="204">
        <v>24</v>
      </c>
      <c r="C41" s="205" t="s">
        <v>450</v>
      </c>
      <c r="D41" s="207" t="s">
        <v>447</v>
      </c>
      <c r="E41" s="208"/>
      <c r="F41" s="208"/>
      <c r="G41" s="208"/>
      <c r="H41" s="208"/>
      <c r="I41" s="208"/>
      <c r="J41" s="208"/>
      <c r="K41" s="211"/>
      <c r="L41" s="211"/>
      <c r="M41" s="211"/>
      <c r="N41" s="211"/>
      <c r="O41" s="211"/>
      <c r="P41" s="211"/>
      <c r="Q41" s="211"/>
      <c r="R41" s="211"/>
      <c r="S41" s="211"/>
      <c r="T41" s="211"/>
      <c r="U41" s="211"/>
      <c r="V41" s="211"/>
      <c r="W41" s="181"/>
      <c r="X41" s="181"/>
      <c r="Y41" s="181"/>
      <c r="Z41" s="181"/>
      <c r="AA41" s="181"/>
      <c r="AB41" s="181"/>
      <c r="AC41" s="181"/>
      <c r="AD41" s="181"/>
      <c r="AE41" s="181"/>
      <c r="AF41" s="181"/>
      <c r="AG41" s="181"/>
      <c r="AH41" s="181"/>
      <c r="AI41" s="181"/>
      <c r="AJ41" s="181"/>
      <c r="AK41" s="181"/>
      <c r="AL41" s="181"/>
      <c r="AM41" s="181"/>
      <c r="AN41" s="181"/>
    </row>
    <row r="42" spans="2:40" ht="14.25" x14ac:dyDescent="0.2">
      <c r="B42" s="204">
        <v>25</v>
      </c>
      <c r="C42" s="205" t="s">
        <v>451</v>
      </c>
      <c r="D42" s="207" t="s">
        <v>447</v>
      </c>
      <c r="E42" s="208"/>
      <c r="F42" s="208"/>
      <c r="G42" s="208"/>
      <c r="H42" s="208"/>
      <c r="I42" s="208"/>
      <c r="J42" s="208"/>
      <c r="K42" s="211"/>
      <c r="L42" s="211"/>
      <c r="M42" s="211"/>
      <c r="N42" s="211"/>
      <c r="O42" s="211"/>
      <c r="P42" s="211"/>
      <c r="Q42" s="211"/>
      <c r="R42" s="211"/>
      <c r="S42" s="211"/>
      <c r="T42" s="211"/>
      <c r="U42" s="211"/>
      <c r="V42" s="211"/>
      <c r="W42" s="181"/>
      <c r="X42" s="181"/>
      <c r="Y42" s="181"/>
      <c r="Z42" s="181"/>
      <c r="AA42" s="181"/>
      <c r="AB42" s="181"/>
      <c r="AC42" s="181"/>
      <c r="AD42" s="181"/>
      <c r="AE42" s="181"/>
      <c r="AF42" s="181"/>
      <c r="AG42" s="181"/>
      <c r="AH42" s="181"/>
      <c r="AI42" s="181"/>
      <c r="AJ42" s="181"/>
      <c r="AK42" s="181"/>
      <c r="AL42" s="181"/>
      <c r="AM42" s="181"/>
      <c r="AN42" s="181"/>
    </row>
    <row r="43" spans="2:40" ht="14.25" x14ac:dyDescent="0.2">
      <c r="B43" s="204">
        <v>26</v>
      </c>
      <c r="C43" s="205" t="s">
        <v>452</v>
      </c>
      <c r="D43" s="207" t="s">
        <v>447</v>
      </c>
      <c r="E43" s="208"/>
      <c r="F43" s="208"/>
      <c r="G43" s="208"/>
      <c r="H43" s="208"/>
      <c r="I43" s="208"/>
      <c r="J43" s="208"/>
      <c r="K43" s="211"/>
      <c r="L43" s="211"/>
      <c r="M43" s="211"/>
      <c r="N43" s="211"/>
      <c r="O43" s="211"/>
      <c r="P43" s="211"/>
      <c r="Q43" s="211"/>
      <c r="R43" s="211"/>
      <c r="S43" s="211"/>
      <c r="T43" s="211"/>
      <c r="U43" s="211"/>
      <c r="V43" s="211"/>
      <c r="W43" s="181"/>
      <c r="X43" s="181"/>
      <c r="Y43" s="181"/>
      <c r="Z43" s="181"/>
      <c r="AA43" s="181"/>
      <c r="AB43" s="181"/>
      <c r="AC43" s="181"/>
      <c r="AD43" s="181"/>
      <c r="AE43" s="181"/>
      <c r="AF43" s="181"/>
      <c r="AG43" s="181"/>
      <c r="AH43" s="181"/>
      <c r="AI43" s="181"/>
      <c r="AJ43" s="181"/>
      <c r="AK43" s="181"/>
      <c r="AL43" s="181"/>
      <c r="AM43" s="181"/>
      <c r="AN43" s="181"/>
    </row>
    <row r="44" spans="2:40" ht="14.25" x14ac:dyDescent="0.2">
      <c r="B44" s="204">
        <v>27</v>
      </c>
      <c r="C44" s="205" t="s">
        <v>453</v>
      </c>
      <c r="D44" s="207" t="s">
        <v>447</v>
      </c>
      <c r="E44" s="208"/>
      <c r="F44" s="208"/>
      <c r="G44" s="208"/>
      <c r="H44" s="208"/>
      <c r="I44" s="208"/>
      <c r="J44" s="208"/>
      <c r="K44" s="211"/>
      <c r="L44" s="211"/>
      <c r="M44" s="211"/>
      <c r="N44" s="211"/>
      <c r="O44" s="211"/>
      <c r="P44" s="211"/>
      <c r="Q44" s="211"/>
      <c r="R44" s="211"/>
      <c r="S44" s="211"/>
      <c r="T44" s="211"/>
      <c r="U44" s="211"/>
      <c r="V44" s="211"/>
      <c r="W44" s="181"/>
      <c r="X44" s="181"/>
      <c r="Y44" s="181"/>
      <c r="Z44" s="181"/>
      <c r="AA44" s="181"/>
      <c r="AB44" s="181"/>
      <c r="AC44" s="181"/>
      <c r="AD44" s="181"/>
      <c r="AE44" s="181"/>
      <c r="AF44" s="181"/>
      <c r="AG44" s="181"/>
      <c r="AH44" s="181"/>
      <c r="AI44" s="181"/>
      <c r="AJ44" s="181"/>
      <c r="AK44" s="181"/>
      <c r="AL44" s="181"/>
      <c r="AM44" s="181"/>
      <c r="AN44" s="181"/>
    </row>
    <row r="45" spans="2:40" ht="14.25" x14ac:dyDescent="0.2">
      <c r="B45" s="204">
        <v>28</v>
      </c>
      <c r="C45" s="205" t="s">
        <v>454</v>
      </c>
      <c r="D45" s="207" t="s">
        <v>447</v>
      </c>
      <c r="E45" s="208"/>
      <c r="F45" s="208"/>
      <c r="G45" s="208"/>
      <c r="H45" s="208"/>
      <c r="I45" s="208"/>
      <c r="J45" s="208"/>
      <c r="K45" s="211"/>
      <c r="L45" s="211"/>
      <c r="M45" s="211"/>
      <c r="N45" s="211"/>
      <c r="O45" s="211"/>
      <c r="P45" s="211"/>
      <c r="Q45" s="211"/>
      <c r="R45" s="211"/>
      <c r="S45" s="211"/>
      <c r="T45" s="211"/>
      <c r="U45" s="211"/>
      <c r="V45" s="211"/>
      <c r="W45" s="181"/>
      <c r="X45" s="181"/>
      <c r="Y45" s="181"/>
      <c r="Z45" s="181"/>
      <c r="AA45" s="181"/>
      <c r="AB45" s="181"/>
      <c r="AC45" s="181"/>
      <c r="AD45" s="181"/>
      <c r="AE45" s="181"/>
      <c r="AF45" s="181"/>
      <c r="AG45" s="181"/>
      <c r="AH45" s="181"/>
      <c r="AI45" s="181"/>
      <c r="AJ45" s="181"/>
      <c r="AK45" s="181"/>
      <c r="AL45" s="181"/>
      <c r="AM45" s="181"/>
      <c r="AN45" s="181"/>
    </row>
    <row r="46" spans="2:40" ht="14.25" x14ac:dyDescent="0.2">
      <c r="B46" s="204">
        <v>29</v>
      </c>
      <c r="C46" s="205" t="s">
        <v>455</v>
      </c>
      <c r="D46" s="207" t="s">
        <v>447</v>
      </c>
      <c r="E46" s="208"/>
      <c r="F46" s="208"/>
      <c r="G46" s="208"/>
      <c r="H46" s="208"/>
      <c r="I46" s="208"/>
      <c r="J46" s="208"/>
      <c r="K46" s="211"/>
      <c r="L46" s="211"/>
      <c r="M46" s="211"/>
      <c r="N46" s="211"/>
      <c r="O46" s="211"/>
      <c r="P46" s="211"/>
      <c r="Q46" s="211"/>
      <c r="R46" s="211"/>
      <c r="S46" s="211"/>
      <c r="T46" s="211"/>
      <c r="U46" s="211"/>
      <c r="V46" s="211"/>
      <c r="W46" s="181"/>
      <c r="X46" s="181"/>
      <c r="Y46" s="181"/>
      <c r="Z46" s="181"/>
      <c r="AA46" s="181"/>
      <c r="AB46" s="181"/>
      <c r="AC46" s="181"/>
      <c r="AD46" s="181"/>
      <c r="AE46" s="181"/>
      <c r="AF46" s="181"/>
      <c r="AG46" s="181"/>
      <c r="AH46" s="181"/>
      <c r="AI46" s="181"/>
      <c r="AJ46" s="181"/>
      <c r="AK46" s="181"/>
      <c r="AL46" s="181"/>
      <c r="AM46" s="181"/>
      <c r="AN46" s="181"/>
    </row>
    <row r="47" spans="2:40" ht="14.25" x14ac:dyDescent="0.2">
      <c r="B47" s="204">
        <v>30</v>
      </c>
      <c r="C47" s="205" t="s">
        <v>456</v>
      </c>
      <c r="D47" s="207" t="s">
        <v>447</v>
      </c>
      <c r="E47" s="321">
        <v>9381</v>
      </c>
      <c r="F47" s="321"/>
      <c r="G47" s="321"/>
      <c r="H47" s="321"/>
      <c r="I47" s="321"/>
      <c r="J47" s="321"/>
      <c r="K47" s="321"/>
      <c r="L47" s="321"/>
      <c r="M47" s="321"/>
      <c r="N47" s="321"/>
      <c r="O47" s="321"/>
      <c r="P47" s="321"/>
      <c r="Q47" s="321"/>
      <c r="R47" s="321"/>
      <c r="S47" s="321"/>
      <c r="T47" s="321"/>
      <c r="U47" s="321"/>
      <c r="V47" s="321"/>
      <c r="W47" s="321"/>
      <c r="X47" s="321"/>
      <c r="Y47" s="321"/>
      <c r="Z47" s="321"/>
      <c r="AA47" s="321"/>
      <c r="AB47" s="321"/>
      <c r="AC47" s="321"/>
      <c r="AD47" s="321"/>
      <c r="AE47" s="321"/>
      <c r="AF47" s="321"/>
      <c r="AG47" s="321"/>
      <c r="AH47" s="321"/>
      <c r="AI47" s="321"/>
      <c r="AJ47" s="321"/>
      <c r="AK47" s="321"/>
      <c r="AL47" s="321"/>
      <c r="AM47" s="321"/>
      <c r="AN47" s="321"/>
    </row>
    <row r="49" spans="2:40" ht="15" x14ac:dyDescent="0.2">
      <c r="B49" s="213" t="s">
        <v>242</v>
      </c>
    </row>
    <row r="50" spans="2:40" ht="14.25" x14ac:dyDescent="0.2">
      <c r="B50" s="204"/>
      <c r="C50" s="205" t="s">
        <v>18</v>
      </c>
      <c r="D50" s="181"/>
      <c r="E50" s="181"/>
      <c r="F50" s="181"/>
      <c r="G50" s="181"/>
      <c r="H50" s="181"/>
      <c r="I50" s="181"/>
      <c r="J50" s="181"/>
      <c r="K50" s="181"/>
      <c r="L50" s="181"/>
      <c r="M50" s="181"/>
      <c r="N50" s="181"/>
      <c r="O50" s="181"/>
      <c r="P50" s="181"/>
      <c r="Q50" s="181"/>
      <c r="R50" s="181"/>
      <c r="S50" s="181"/>
      <c r="T50" s="181"/>
      <c r="U50" s="181"/>
      <c r="V50" s="181"/>
      <c r="W50" s="181"/>
      <c r="X50" s="181"/>
      <c r="Y50" s="181"/>
      <c r="Z50" s="181"/>
      <c r="AA50" s="181"/>
      <c r="AB50" s="181"/>
      <c r="AC50" s="181"/>
      <c r="AD50" s="181"/>
      <c r="AE50" s="181"/>
      <c r="AF50" s="181"/>
      <c r="AG50" s="181"/>
      <c r="AH50" s="181"/>
      <c r="AI50" s="181"/>
      <c r="AJ50" s="181"/>
      <c r="AK50" s="181"/>
      <c r="AL50" s="181"/>
      <c r="AM50" s="181"/>
      <c r="AN50" s="181"/>
    </row>
    <row r="51" spans="2:40" ht="14.25" x14ac:dyDescent="0.2">
      <c r="B51" s="204">
        <v>1</v>
      </c>
      <c r="C51" s="205" t="s">
        <v>485</v>
      </c>
      <c r="D51" s="181" t="s">
        <v>432</v>
      </c>
      <c r="E51" s="209">
        <v>157.09699999999998</v>
      </c>
      <c r="F51" s="209">
        <v>7.0010000000000003</v>
      </c>
      <c r="G51" s="209">
        <v>62.158000000000001</v>
      </c>
      <c r="H51" s="209">
        <v>0</v>
      </c>
      <c r="I51" s="209">
        <v>193.977</v>
      </c>
      <c r="J51" s="209">
        <v>9.5459999999999994</v>
      </c>
      <c r="K51" s="209">
        <v>75.430999999999997</v>
      </c>
      <c r="L51" s="209">
        <v>42.003999999999998</v>
      </c>
      <c r="M51" s="209">
        <v>350.20499999999998</v>
      </c>
      <c r="N51" s="209">
        <v>120.35499999999999</v>
      </c>
      <c r="O51" s="209">
        <v>61.256999999999998</v>
      </c>
      <c r="P51" s="209">
        <v>7.74</v>
      </c>
      <c r="Q51" s="209">
        <v>62.398000000000003</v>
      </c>
      <c r="R51" s="209">
        <v>21.638000000000002</v>
      </c>
      <c r="S51" s="209">
        <v>69.126000000000005</v>
      </c>
      <c r="T51" s="209">
        <v>0</v>
      </c>
      <c r="U51" s="209">
        <v>7.7960000000000003</v>
      </c>
      <c r="V51" s="209">
        <v>0</v>
      </c>
      <c r="W51" s="209">
        <v>217.608</v>
      </c>
      <c r="X51" s="209">
        <v>227.36099999999999</v>
      </c>
      <c r="Y51" s="209">
        <v>53.411999999999999</v>
      </c>
      <c r="Z51" s="209">
        <v>0</v>
      </c>
      <c r="AA51" s="209">
        <v>117.23699999999999</v>
      </c>
      <c r="AB51" s="209">
        <v>6.0860000000000003</v>
      </c>
      <c r="AC51" s="209">
        <v>69.138999999999996</v>
      </c>
      <c r="AD51" s="209">
        <v>44.55</v>
      </c>
      <c r="AE51" s="209">
        <v>265.95699999999999</v>
      </c>
      <c r="AF51" s="209">
        <v>43.635999999999996</v>
      </c>
      <c r="AG51" s="209">
        <v>15.469000000000001</v>
      </c>
      <c r="AH51" s="209">
        <v>7</v>
      </c>
      <c r="AI51" s="209">
        <v>69.268000000000001</v>
      </c>
      <c r="AJ51" s="209">
        <v>58.274000000000001</v>
      </c>
      <c r="AK51" s="209">
        <v>114.673</v>
      </c>
      <c r="AL51" s="209">
        <v>61.91</v>
      </c>
      <c r="AM51" s="209">
        <v>78.568000000000012</v>
      </c>
      <c r="AN51" s="209">
        <v>11.456</v>
      </c>
    </row>
    <row r="52" spans="2:40" ht="14.25" x14ac:dyDescent="0.2">
      <c r="B52" s="204">
        <v>2</v>
      </c>
      <c r="C52" s="205" t="s">
        <v>486</v>
      </c>
      <c r="D52" s="181" t="s">
        <v>433</v>
      </c>
      <c r="E52" s="209">
        <v>0.98565315109653495</v>
      </c>
      <c r="F52" s="209">
        <v>5.9383062028484639E-2</v>
      </c>
      <c r="G52" s="209">
        <v>0.39340972186977158</v>
      </c>
      <c r="H52" s="209">
        <v>0</v>
      </c>
      <c r="I52" s="209">
        <v>1.2311579033355207</v>
      </c>
      <c r="J52" s="209">
        <v>8.0969962880147739E-2</v>
      </c>
      <c r="K52" s="209">
        <v>0.48160168536077907</v>
      </c>
      <c r="L52" s="209">
        <v>0.35628140800520902</v>
      </c>
      <c r="M52" s="209">
        <v>2.2405872221466838</v>
      </c>
      <c r="N52" s="209">
        <v>1.0048325056240721</v>
      </c>
      <c r="O52" s="209">
        <v>0.39149919832818231</v>
      </c>
      <c r="P52" s="209">
        <v>6.4620527552077756E-2</v>
      </c>
      <c r="Q52" s="209">
        <v>0.39894115983664596</v>
      </c>
      <c r="R52" s="209">
        <v>0.17809311708923201</v>
      </c>
      <c r="S52" s="209">
        <v>0.44168738677888902</v>
      </c>
      <c r="T52" s="209">
        <v>0</v>
      </c>
      <c r="U52" s="209">
        <v>4.9813310003880139E-2</v>
      </c>
      <c r="V52" s="209">
        <v>0</v>
      </c>
      <c r="W52" s="209">
        <v>1.3947275246479871</v>
      </c>
      <c r="X52" s="209">
        <v>1.8370731741768365</v>
      </c>
      <c r="Y52" s="209">
        <v>0.34233661697409234</v>
      </c>
      <c r="Z52" s="209">
        <v>0</v>
      </c>
      <c r="AA52" s="209">
        <v>0.75141387636096124</v>
      </c>
      <c r="AB52" s="209">
        <v>4.9361021525394552E-2</v>
      </c>
      <c r="AC52" s="209">
        <v>0.44313658655305588</v>
      </c>
      <c r="AD52" s="209">
        <v>0.3613265706467832</v>
      </c>
      <c r="AE52" s="209">
        <v>1.691550316685247</v>
      </c>
      <c r="AF52" s="209">
        <v>0.34663138358657242</v>
      </c>
      <c r="AG52" s="209">
        <v>9.8198548298597199E-2</v>
      </c>
      <c r="AH52" s="209">
        <v>5.4734223241338927E-2</v>
      </c>
      <c r="AI52" s="209">
        <v>0.43955637203411219</v>
      </c>
      <c r="AJ52" s="209">
        <v>0.45509456700450684</v>
      </c>
      <c r="AK52" s="209">
        <v>0.72747531907460294</v>
      </c>
      <c r="AL52" s="209">
        <v>0.48349014385916561</v>
      </c>
      <c r="AM52" s="209">
        <v>0.49557551786017567</v>
      </c>
      <c r="AN52" s="209">
        <v>8.9491662944754358E-2</v>
      </c>
    </row>
    <row r="53" spans="2:40" ht="14.25" x14ac:dyDescent="0.2">
      <c r="B53" s="204">
        <v>3</v>
      </c>
      <c r="C53" s="205" t="s">
        <v>487</v>
      </c>
      <c r="D53" s="181" t="s">
        <v>444</v>
      </c>
      <c r="E53" s="319">
        <v>63683.665439250908</v>
      </c>
      <c r="F53" s="320"/>
      <c r="G53" s="319">
        <v>63291.888714207598</v>
      </c>
      <c r="H53" s="320"/>
      <c r="I53" s="319">
        <v>64470.741204466744</v>
      </c>
      <c r="J53" s="320"/>
      <c r="K53" s="319">
        <v>71348.668911822548</v>
      </c>
      <c r="L53" s="320"/>
      <c r="M53" s="319">
        <v>68969.307373570977</v>
      </c>
      <c r="N53" s="320"/>
      <c r="O53" s="319">
        <v>66107.182323906847</v>
      </c>
      <c r="P53" s="320"/>
      <c r="Q53" s="319">
        <v>68665.12886451972</v>
      </c>
      <c r="R53" s="320"/>
      <c r="S53" s="319">
        <v>63895.985125551742</v>
      </c>
      <c r="T53" s="320"/>
      <c r="U53" s="319">
        <v>63895.985125551742</v>
      </c>
      <c r="V53" s="320"/>
      <c r="W53" s="319">
        <v>72629.794408707647</v>
      </c>
      <c r="X53" s="320"/>
      <c r="Y53" s="319">
        <v>64093.577655600304</v>
      </c>
      <c r="Z53" s="320"/>
      <c r="AA53" s="319">
        <v>64933.134766941759</v>
      </c>
      <c r="AB53" s="320"/>
      <c r="AC53" s="319">
        <v>70759.98181001145</v>
      </c>
      <c r="AD53" s="320"/>
      <c r="AE53" s="319">
        <v>65834.230756891135</v>
      </c>
      <c r="AF53" s="320"/>
      <c r="AG53" s="319">
        <v>68063.897610012064</v>
      </c>
      <c r="AH53" s="320"/>
      <c r="AI53" s="319">
        <v>70145.594317057825</v>
      </c>
      <c r="AJ53" s="320"/>
      <c r="AK53" s="319">
        <v>68577.692242954785</v>
      </c>
      <c r="AL53" s="320"/>
      <c r="AM53" s="319">
        <v>64990.133831526029</v>
      </c>
      <c r="AN53" s="320"/>
    </row>
  </sheetData>
  <mergeCells count="43">
    <mergeCell ref="AI53:AJ53"/>
    <mergeCell ref="AK53:AL53"/>
    <mergeCell ref="AM53:AN53"/>
    <mergeCell ref="E47:AN47"/>
    <mergeCell ref="E53:F53"/>
    <mergeCell ref="G53:H53"/>
    <mergeCell ref="I53:J53"/>
    <mergeCell ref="K53:L53"/>
    <mergeCell ref="M53:N53"/>
    <mergeCell ref="O53:P53"/>
    <mergeCell ref="Q53:R53"/>
    <mergeCell ref="S53:T53"/>
    <mergeCell ref="U53:V53"/>
    <mergeCell ref="W53:X53"/>
    <mergeCell ref="Y53:Z53"/>
    <mergeCell ref="AA53:AB53"/>
    <mergeCell ref="AC53:AD53"/>
    <mergeCell ref="AE53:AF53"/>
    <mergeCell ref="AG53:AH53"/>
    <mergeCell ref="AE6:AF6"/>
    <mergeCell ref="AG6:AH6"/>
    <mergeCell ref="AI6:AJ6"/>
    <mergeCell ref="AK6:AL6"/>
    <mergeCell ref="AM6:AN6"/>
    <mergeCell ref="U6:V6"/>
    <mergeCell ref="W6:X6"/>
    <mergeCell ref="Y6:Z6"/>
    <mergeCell ref="AA6:AB6"/>
    <mergeCell ref="AC6:AD6"/>
    <mergeCell ref="B6:B7"/>
    <mergeCell ref="C6:C7"/>
    <mergeCell ref="B2:V2"/>
    <mergeCell ref="B3:V3"/>
    <mergeCell ref="B4:V4"/>
    <mergeCell ref="D6:D7"/>
    <mergeCell ref="E6:F6"/>
    <mergeCell ref="G6:H6"/>
    <mergeCell ref="I6:J6"/>
    <mergeCell ref="K6:L6"/>
    <mergeCell ref="M6:N6"/>
    <mergeCell ref="O6:P6"/>
    <mergeCell ref="Q6:R6"/>
    <mergeCell ref="S6:T6"/>
  </mergeCells>
  <pageMargins left="0.25" right="0.2" top="0.25" bottom="0.25" header="0.3" footer="0.3"/>
  <pageSetup paperSize="9" scale="74" fitToWidth="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9"/>
  <sheetViews>
    <sheetView showGridLines="0" view="pageBreakPreview" zoomScaleNormal="91" zoomScaleSheetLayoutView="100" workbookViewId="0">
      <selection activeCell="O13" sqref="O13"/>
    </sheetView>
  </sheetViews>
  <sheetFormatPr defaultColWidth="9.28515625" defaultRowHeight="14.25" x14ac:dyDescent="0.2"/>
  <cols>
    <col min="1" max="1" width="2.42578125" style="88" customWidth="1"/>
    <col min="2" max="2" width="31.7109375" style="88" customWidth="1"/>
    <col min="3" max="3" width="8.42578125" style="88" customWidth="1"/>
    <col min="4" max="4" width="9.28515625" style="88" customWidth="1"/>
    <col min="5" max="5" width="12" style="88" customWidth="1"/>
    <col min="6" max="6" width="9.28515625" style="88" customWidth="1"/>
    <col min="7" max="7" width="11.140625" style="88" customWidth="1"/>
    <col min="8" max="8" width="11.42578125" style="88" customWidth="1"/>
    <col min="9" max="9" width="9.5703125" style="88" customWidth="1"/>
    <col min="10" max="10" width="11.7109375" style="88" customWidth="1"/>
    <col min="11" max="11" width="12.28515625" style="88" customWidth="1"/>
    <col min="12" max="16384" width="9.28515625" style="88"/>
  </cols>
  <sheetData>
    <row r="2" spans="2:11" ht="15" x14ac:dyDescent="0.2">
      <c r="G2" s="32" t="s">
        <v>403</v>
      </c>
    </row>
    <row r="3" spans="2:11" ht="15" x14ac:dyDescent="0.2">
      <c r="G3" s="32" t="s">
        <v>468</v>
      </c>
    </row>
    <row r="4" spans="2:11" ht="15" x14ac:dyDescent="0.2">
      <c r="G4" s="35" t="s">
        <v>346</v>
      </c>
    </row>
    <row r="5" spans="2:11" ht="10.5" customHeight="1" x14ac:dyDescent="0.2"/>
    <row r="6" spans="2:11" ht="15" x14ac:dyDescent="0.2">
      <c r="B6" s="322" t="s">
        <v>18</v>
      </c>
      <c r="C6" s="322" t="s">
        <v>209</v>
      </c>
      <c r="D6" s="322" t="s">
        <v>39</v>
      </c>
      <c r="E6" s="280" t="s">
        <v>405</v>
      </c>
      <c r="F6" s="281"/>
      <c r="G6" s="282"/>
      <c r="H6" s="280" t="s">
        <v>406</v>
      </c>
      <c r="I6" s="282"/>
      <c r="J6" s="280" t="s">
        <v>467</v>
      </c>
      <c r="K6" s="282"/>
    </row>
    <row r="7" spans="2:11" ht="39" customHeight="1" x14ac:dyDescent="0.2">
      <c r="B7" s="322"/>
      <c r="C7" s="322"/>
      <c r="D7" s="322"/>
      <c r="E7" s="15" t="s">
        <v>370</v>
      </c>
      <c r="F7" s="15" t="s">
        <v>240</v>
      </c>
      <c r="G7" s="15" t="s">
        <v>208</v>
      </c>
      <c r="H7" s="15" t="s">
        <v>395</v>
      </c>
      <c r="I7" s="15" t="s">
        <v>239</v>
      </c>
      <c r="J7" s="15" t="s">
        <v>395</v>
      </c>
      <c r="K7" s="15" t="s">
        <v>229</v>
      </c>
    </row>
    <row r="8" spans="2:11" ht="30" x14ac:dyDescent="0.2">
      <c r="B8" s="322"/>
      <c r="C8" s="322"/>
      <c r="D8" s="322"/>
      <c r="E8" s="15" t="s">
        <v>10</v>
      </c>
      <c r="F8" s="15" t="s">
        <v>12</v>
      </c>
      <c r="G8" s="15" t="s">
        <v>231</v>
      </c>
      <c r="H8" s="15" t="s">
        <v>10</v>
      </c>
      <c r="I8" s="15" t="s">
        <v>5</v>
      </c>
      <c r="J8" s="15" t="s">
        <v>10</v>
      </c>
      <c r="K8" s="15" t="s">
        <v>8</v>
      </c>
    </row>
    <row r="9" spans="2:11" x14ac:dyDescent="0.2">
      <c r="B9" s="93" t="s">
        <v>171</v>
      </c>
      <c r="C9" s="96" t="s">
        <v>353</v>
      </c>
      <c r="D9" s="96" t="s">
        <v>42</v>
      </c>
      <c r="E9" s="28">
        <v>5.25</v>
      </c>
      <c r="F9" s="104">
        <f>'F10'!F28</f>
        <v>6.4241959160324367</v>
      </c>
      <c r="G9" s="104">
        <f t="shared" ref="G9:G16" si="0">F9</f>
        <v>6.4241959160324367</v>
      </c>
      <c r="H9" s="104">
        <v>5.25</v>
      </c>
      <c r="I9" s="104">
        <v>5.25</v>
      </c>
      <c r="J9" s="104">
        <v>5.25</v>
      </c>
      <c r="K9" s="104">
        <v>5.25</v>
      </c>
    </row>
    <row r="10" spans="2:11" x14ac:dyDescent="0.2">
      <c r="B10" s="94" t="s">
        <v>207</v>
      </c>
      <c r="C10" s="97" t="s">
        <v>363</v>
      </c>
      <c r="D10" s="97" t="s">
        <v>49</v>
      </c>
      <c r="E10" s="28">
        <v>2450</v>
      </c>
      <c r="F10" s="106">
        <f>'F10'!F34</f>
        <v>2335.2296255200049</v>
      </c>
      <c r="G10" s="106">
        <f t="shared" si="0"/>
        <v>2335.2296255200049</v>
      </c>
      <c r="H10" s="106">
        <v>2450</v>
      </c>
      <c r="I10" s="106">
        <v>2450</v>
      </c>
      <c r="J10" s="106">
        <f t="shared" ref="J10:J16" si="1">H10</f>
        <v>2450</v>
      </c>
      <c r="K10" s="106">
        <f t="shared" ref="K10:K16" si="2">I10</f>
        <v>2450</v>
      </c>
    </row>
    <row r="11" spans="2:11" x14ac:dyDescent="0.2">
      <c r="B11" s="93" t="s">
        <v>347</v>
      </c>
      <c r="C11" s="96" t="s">
        <v>354</v>
      </c>
      <c r="D11" s="96" t="s">
        <v>51</v>
      </c>
      <c r="E11" s="28">
        <v>0.5</v>
      </c>
      <c r="F11" s="104">
        <f>'F10'!F38</f>
        <v>0.37299444771216422</v>
      </c>
      <c r="G11" s="104">
        <f t="shared" si="0"/>
        <v>0.37299444771216422</v>
      </c>
      <c r="H11" s="141">
        <f t="shared" ref="H11:H16" si="3">I11</f>
        <v>0.5</v>
      </c>
      <c r="I11" s="141">
        <v>0.5</v>
      </c>
      <c r="J11" s="141">
        <f t="shared" si="1"/>
        <v>0.5</v>
      </c>
      <c r="K11" s="141">
        <f t="shared" si="2"/>
        <v>0.5</v>
      </c>
    </row>
    <row r="12" spans="2:11" x14ac:dyDescent="0.2">
      <c r="B12" s="93" t="s">
        <v>348</v>
      </c>
      <c r="C12" s="96" t="s">
        <v>355</v>
      </c>
      <c r="D12" s="96" t="s">
        <v>356</v>
      </c>
      <c r="E12" s="106">
        <v>9390</v>
      </c>
      <c r="F12" s="106">
        <f>E12</f>
        <v>9390</v>
      </c>
      <c r="G12" s="106">
        <f t="shared" si="0"/>
        <v>9390</v>
      </c>
      <c r="H12" s="106">
        <v>9390</v>
      </c>
      <c r="I12" s="106">
        <v>9390</v>
      </c>
      <c r="J12" s="106">
        <f t="shared" si="1"/>
        <v>9390</v>
      </c>
      <c r="K12" s="106">
        <f t="shared" si="2"/>
        <v>9390</v>
      </c>
    </row>
    <row r="13" spans="2:11" ht="15.75" x14ac:dyDescent="0.2">
      <c r="B13" s="93" t="s">
        <v>349</v>
      </c>
      <c r="C13" s="96" t="s">
        <v>357</v>
      </c>
      <c r="D13" s="96" t="s">
        <v>358</v>
      </c>
      <c r="E13" s="104">
        <f>F13</f>
        <v>6.6395737199721847E-2</v>
      </c>
      <c r="F13" s="104">
        <v>6.6395737199721847E-2</v>
      </c>
      <c r="G13" s="104">
        <f t="shared" si="0"/>
        <v>6.6395737199721847E-2</v>
      </c>
      <c r="H13" s="104">
        <f t="shared" si="3"/>
        <v>6.6931493265292297E-2</v>
      </c>
      <c r="I13" s="185">
        <f>66931.4932652923/1000000</f>
        <v>6.6931493265292297E-2</v>
      </c>
      <c r="J13" s="104">
        <f>K13</f>
        <v>7.1011924606281793E-2</v>
      </c>
      <c r="K13" s="104">
        <f>71011.9246062818/1000000</f>
        <v>7.1011924606281793E-2</v>
      </c>
    </row>
    <row r="14" spans="2:11" x14ac:dyDescent="0.2">
      <c r="B14" s="93" t="s">
        <v>364</v>
      </c>
      <c r="C14" s="96" t="s">
        <v>359</v>
      </c>
      <c r="D14" s="96" t="s">
        <v>333</v>
      </c>
      <c r="E14" s="106">
        <f>F14</f>
        <v>3887.6655000000001</v>
      </c>
      <c r="F14" s="106">
        <v>3887.6655000000001</v>
      </c>
      <c r="G14" s="106">
        <f>F14</f>
        <v>3887.6655000000001</v>
      </c>
      <c r="H14" s="106">
        <f>I14</f>
        <v>4080.2946487286276</v>
      </c>
      <c r="I14" s="106">
        <v>4080.2946487286276</v>
      </c>
      <c r="J14" s="106">
        <f>K14</f>
        <v>4219.2428478853371</v>
      </c>
      <c r="K14" s="106">
        <v>4219.2428478853371</v>
      </c>
    </row>
    <row r="15" spans="2:11" x14ac:dyDescent="0.2">
      <c r="B15" s="93" t="s">
        <v>350</v>
      </c>
      <c r="C15" s="96" t="s">
        <v>360</v>
      </c>
      <c r="D15" s="96" t="s">
        <v>361</v>
      </c>
      <c r="E15" s="104">
        <f>F15</f>
        <v>5.7312726456185086</v>
      </c>
      <c r="F15" s="104">
        <v>5.7312726456185086</v>
      </c>
      <c r="G15" s="104">
        <f t="shared" si="0"/>
        <v>5.7312726456185086</v>
      </c>
      <c r="H15" s="104">
        <f>I15</f>
        <v>4.9713900282222703</v>
      </c>
      <c r="I15" s="104">
        <f>4971.39002822227/1000</f>
        <v>4.9713900282222703</v>
      </c>
      <c r="J15" s="141">
        <f>K15</f>
        <v>4.7133773984866698</v>
      </c>
      <c r="K15" s="141">
        <f>4713.37739848667/1000</f>
        <v>4.7133773984866698</v>
      </c>
    </row>
    <row r="16" spans="2:11" x14ac:dyDescent="0.2">
      <c r="B16" s="93" t="s">
        <v>351</v>
      </c>
      <c r="C16" s="96"/>
      <c r="D16" s="96" t="s">
        <v>362</v>
      </c>
      <c r="E16" s="104">
        <f>(E10-(E11*E12/1000))/E14</f>
        <v>0.62899058573840771</v>
      </c>
      <c r="F16" s="104">
        <f>(F10-(F11*F12/1000))/F14</f>
        <v>0.599775677114193</v>
      </c>
      <c r="G16" s="104">
        <f t="shared" si="0"/>
        <v>0.599775677114193</v>
      </c>
      <c r="H16" s="104">
        <f t="shared" si="3"/>
        <v>0.59929618091721104</v>
      </c>
      <c r="I16" s="104">
        <f>(I10-(I11*I12/1000))/I14</f>
        <v>0.59929618091721104</v>
      </c>
      <c r="J16" s="104">
        <f t="shared" si="1"/>
        <v>0.59929618091721104</v>
      </c>
      <c r="K16" s="104">
        <f t="shared" si="2"/>
        <v>0.59929618091721104</v>
      </c>
    </row>
    <row r="17" spans="2:11" ht="15" x14ac:dyDescent="0.2">
      <c r="B17" s="93" t="s">
        <v>409</v>
      </c>
      <c r="C17" s="96"/>
      <c r="D17" s="95" t="s">
        <v>204</v>
      </c>
      <c r="E17" s="143">
        <f>IFERROR(((E10-E11*E12/1000)*E15/E14)*100/(100-E9),0)</f>
        <v>3.8046612542417937</v>
      </c>
      <c r="F17" s="143">
        <f>IFERROR(((F10-F11*F12/1000)*F15/F14)*100/(100-F9),0)</f>
        <v>3.6734687619327002</v>
      </c>
      <c r="G17" s="143">
        <f>IFERROR(((G10-G11*G12/1000)*G15/G14)*100/(100-G9),0)</f>
        <v>3.6734687619327002</v>
      </c>
      <c r="H17" s="143">
        <f t="shared" ref="H17:K17" si="4">ROUND(IFERROR(((H10-H11*H12/1000)*H15/H14)*100/(100-H9),0),3)</f>
        <v>3.1440000000000001</v>
      </c>
      <c r="I17" s="143">
        <f t="shared" si="4"/>
        <v>3.1440000000000001</v>
      </c>
      <c r="J17" s="143">
        <f t="shared" si="4"/>
        <v>2.883</v>
      </c>
      <c r="K17" s="143">
        <f t="shared" si="4"/>
        <v>2.883</v>
      </c>
    </row>
    <row r="18" spans="2:11" ht="15" x14ac:dyDescent="0.2">
      <c r="B18" s="93" t="s">
        <v>410</v>
      </c>
      <c r="C18" s="96"/>
      <c r="D18" s="95" t="s">
        <v>204</v>
      </c>
      <c r="E18" s="143">
        <f>IFERROR((E11*E13)*100/(100-E9),0)</f>
        <v>3.5037328337584085E-2</v>
      </c>
      <c r="F18" s="143">
        <f>IFERROR((F11*F13)*100/(100-F9),0)</f>
        <v>2.6465432565270681E-2</v>
      </c>
      <c r="G18" s="143">
        <f>IFERROR((G11*G13)*100/(100-G9),0)</f>
        <v>2.6465432565270681E-2</v>
      </c>
      <c r="H18" s="143">
        <f t="shared" ref="H18:K18" si="5">ROUND(IFERROR((H11*H13)*100/(100-H9),0),3)</f>
        <v>3.5000000000000003E-2</v>
      </c>
      <c r="I18" s="143">
        <f t="shared" si="5"/>
        <v>3.5000000000000003E-2</v>
      </c>
      <c r="J18" s="143">
        <f t="shared" si="5"/>
        <v>3.6999999999999998E-2</v>
      </c>
      <c r="K18" s="143">
        <f t="shared" si="5"/>
        <v>3.6999999999999998E-2</v>
      </c>
    </row>
    <row r="19" spans="2:11" ht="15" x14ac:dyDescent="0.2">
      <c r="B19" s="95" t="s">
        <v>352</v>
      </c>
      <c r="C19" s="96"/>
      <c r="D19" s="95" t="s">
        <v>204</v>
      </c>
      <c r="E19" s="142">
        <f>IFERROR(((E10-E11*E12/1000)*E15/E14+E11*E13)*100/(100-E9),0)</f>
        <v>3.8396985825793775</v>
      </c>
      <c r="F19" s="142">
        <f>IFERROR(((F10-F11*F12/1000)*F15/F14+F11*F13)*100/(100-F9),0)</f>
        <v>3.6999341944979713</v>
      </c>
      <c r="G19" s="142">
        <f>IFERROR(((G10-G11*G12/1000)*G15/G14+G11*G13)*100/(100-G9),0)</f>
        <v>3.6999341944979713</v>
      </c>
      <c r="H19" s="142">
        <f t="shared" ref="H19:K19" si="6">ROUND(IFERROR(((H10-H11*H12/1000)*H15/H14+H11*H13)*100/(100-H9),0),3)</f>
        <v>3.18</v>
      </c>
      <c r="I19" s="142">
        <f t="shared" si="6"/>
        <v>3.18</v>
      </c>
      <c r="J19" s="142">
        <f t="shared" si="6"/>
        <v>2.9209999999999998</v>
      </c>
      <c r="K19" s="142">
        <f t="shared" si="6"/>
        <v>2.9209999999999998</v>
      </c>
    </row>
  </sheetData>
  <mergeCells count="6">
    <mergeCell ref="J6:K6"/>
    <mergeCell ref="E6:G6"/>
    <mergeCell ref="H6:I6"/>
    <mergeCell ref="B6:B8"/>
    <mergeCell ref="D6:D8"/>
    <mergeCell ref="C6:C8"/>
  </mergeCells>
  <pageMargins left="0.2" right="0.2"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22"/>
  <sheetViews>
    <sheetView showGridLines="0" zoomScale="93" zoomScaleNormal="93" zoomScaleSheetLayoutView="91" workbookViewId="0">
      <selection activeCell="N17" sqref="N17"/>
    </sheetView>
  </sheetViews>
  <sheetFormatPr defaultColWidth="9.28515625" defaultRowHeight="14.25" x14ac:dyDescent="0.2"/>
  <cols>
    <col min="1" max="1" width="3" style="13" customWidth="1"/>
    <col min="2" max="2" width="5.7109375" style="13" customWidth="1"/>
    <col min="3" max="3" width="37" style="13" customWidth="1"/>
    <col min="4" max="5" width="11.5703125" style="13" customWidth="1"/>
    <col min="6" max="6" width="12.7109375" style="13" customWidth="1"/>
    <col min="7" max="7" width="11" style="13" customWidth="1"/>
    <col min="8" max="8" width="12.140625" style="13" customWidth="1"/>
    <col min="9" max="9" width="13.42578125" style="13" customWidth="1"/>
    <col min="10" max="10" width="11.140625" style="13" customWidth="1"/>
    <col min="11" max="11" width="11.5703125" style="13" customWidth="1"/>
    <col min="12" max="12" width="13.5703125" style="13" customWidth="1"/>
    <col min="13" max="13" width="10.5703125" style="13" customWidth="1"/>
    <col min="14" max="16384" width="9.28515625" style="13"/>
  </cols>
  <sheetData>
    <row r="2" spans="2:13" ht="15" x14ac:dyDescent="0.2">
      <c r="C2" s="5"/>
      <c r="D2" s="5"/>
      <c r="E2" s="5"/>
      <c r="F2" s="32" t="s">
        <v>403</v>
      </c>
      <c r="G2" s="5"/>
      <c r="H2" s="5"/>
      <c r="I2" s="5"/>
      <c r="J2" s="5"/>
      <c r="K2" s="5"/>
      <c r="L2" s="5"/>
      <c r="M2" s="5"/>
    </row>
    <row r="3" spans="2:13" ht="15" x14ac:dyDescent="0.2">
      <c r="C3" s="5"/>
      <c r="D3" s="5"/>
      <c r="E3" s="5"/>
      <c r="F3" s="32" t="s">
        <v>468</v>
      </c>
      <c r="G3" s="5"/>
      <c r="H3" s="5"/>
      <c r="I3" s="5"/>
      <c r="J3" s="5"/>
      <c r="K3" s="5"/>
      <c r="L3" s="5"/>
      <c r="M3" s="5"/>
    </row>
    <row r="4" spans="2:13" s="4" customFormat="1" ht="15.75" x14ac:dyDescent="0.2">
      <c r="C4" s="5"/>
      <c r="D4" s="5"/>
      <c r="F4" s="67" t="s">
        <v>408</v>
      </c>
      <c r="G4" s="5"/>
      <c r="H4" s="5"/>
      <c r="I4" s="5"/>
      <c r="J4" s="5"/>
      <c r="K4" s="5"/>
      <c r="L4" s="5"/>
      <c r="M4" s="5"/>
    </row>
    <row r="6" spans="2:13" ht="12.75" customHeight="1" x14ac:dyDescent="0.2">
      <c r="B6" s="273" t="s">
        <v>193</v>
      </c>
      <c r="C6" s="276" t="s">
        <v>18</v>
      </c>
      <c r="D6" s="270" t="s">
        <v>39</v>
      </c>
      <c r="E6" s="276" t="s">
        <v>1</v>
      </c>
      <c r="F6" s="280" t="s">
        <v>405</v>
      </c>
      <c r="G6" s="281"/>
      <c r="H6" s="282"/>
      <c r="I6" s="280" t="s">
        <v>406</v>
      </c>
      <c r="J6" s="282"/>
      <c r="K6" s="280" t="s">
        <v>467</v>
      </c>
      <c r="L6" s="282"/>
      <c r="M6" s="278" t="s">
        <v>11</v>
      </c>
    </row>
    <row r="7" spans="2:13" ht="60" customHeight="1" x14ac:dyDescent="0.2">
      <c r="B7" s="274"/>
      <c r="C7" s="276"/>
      <c r="D7" s="271"/>
      <c r="E7" s="276"/>
      <c r="F7" s="15" t="s">
        <v>370</v>
      </c>
      <c r="G7" s="15" t="s">
        <v>230</v>
      </c>
      <c r="H7" s="15" t="s">
        <v>466</v>
      </c>
      <c r="I7" s="15" t="s">
        <v>370</v>
      </c>
      <c r="J7" s="15" t="s">
        <v>232</v>
      </c>
      <c r="K7" s="15" t="s">
        <v>370</v>
      </c>
      <c r="L7" s="15" t="s">
        <v>232</v>
      </c>
      <c r="M7" s="278"/>
    </row>
    <row r="8" spans="2:13" ht="30" x14ac:dyDescent="0.2">
      <c r="B8" s="275"/>
      <c r="C8" s="277"/>
      <c r="D8" s="272"/>
      <c r="E8" s="277"/>
      <c r="F8" s="15" t="s">
        <v>10</v>
      </c>
      <c r="G8" s="15" t="s">
        <v>12</v>
      </c>
      <c r="H8" s="15" t="s">
        <v>231</v>
      </c>
      <c r="I8" s="15" t="s">
        <v>10</v>
      </c>
      <c r="J8" s="15" t="s">
        <v>463</v>
      </c>
      <c r="K8" s="15" t="s">
        <v>10</v>
      </c>
      <c r="L8" s="15" t="s">
        <v>463</v>
      </c>
      <c r="M8" s="279"/>
    </row>
    <row r="9" spans="2:13" ht="15" x14ac:dyDescent="0.2">
      <c r="B9" s="22" t="s">
        <v>67</v>
      </c>
      <c r="C9" s="23" t="s">
        <v>235</v>
      </c>
      <c r="D9" s="20"/>
      <c r="E9" s="20"/>
      <c r="F9" s="15"/>
      <c r="G9" s="15"/>
      <c r="H9" s="15"/>
      <c r="I9" s="15"/>
      <c r="J9" s="15"/>
      <c r="K9" s="15"/>
      <c r="L9" s="15"/>
      <c r="M9" s="21"/>
    </row>
    <row r="10" spans="2:13" ht="15" x14ac:dyDescent="0.2">
      <c r="B10" s="2">
        <v>1</v>
      </c>
      <c r="C10" s="3" t="s">
        <v>36</v>
      </c>
      <c r="D10" s="2" t="s">
        <v>205</v>
      </c>
      <c r="E10" s="17" t="s">
        <v>266</v>
      </c>
      <c r="F10" s="170">
        <f>'F2'!E14</f>
        <v>180.28</v>
      </c>
      <c r="G10" s="170">
        <f>'F2'!F14</f>
        <v>234.28</v>
      </c>
      <c r="H10" s="170">
        <f>'F2'!G14</f>
        <v>234.28</v>
      </c>
      <c r="I10" s="170">
        <f>'F2'!H14</f>
        <v>190.43</v>
      </c>
      <c r="J10" s="170">
        <f>'F2'!I14</f>
        <v>246.67</v>
      </c>
      <c r="K10" s="170">
        <f>'F2'!J14</f>
        <v>201.15</v>
      </c>
      <c r="L10" s="170">
        <f>'F2'!K14</f>
        <v>257.5</v>
      </c>
      <c r="M10" s="128"/>
    </row>
    <row r="11" spans="2:13" ht="15" x14ac:dyDescent="0.2">
      <c r="B11" s="2">
        <f t="shared" ref="B11:B16" si="0">B10+1</f>
        <v>2</v>
      </c>
      <c r="C11" s="18" t="s">
        <v>167</v>
      </c>
      <c r="D11" s="2" t="s">
        <v>205</v>
      </c>
      <c r="E11" s="17" t="s">
        <v>23</v>
      </c>
      <c r="F11" s="171">
        <v>88.68</v>
      </c>
      <c r="G11" s="171">
        <f>H11</f>
        <v>17.5</v>
      </c>
      <c r="H11" s="170">
        <f>'F4'!K22</f>
        <v>17.5</v>
      </c>
      <c r="I11" s="172">
        <v>88.68</v>
      </c>
      <c r="J11" s="170">
        <f>'F4'!K39</f>
        <v>17.89</v>
      </c>
      <c r="K11" s="172">
        <v>88.68</v>
      </c>
      <c r="L11" s="170">
        <f>'F4'!K56</f>
        <v>18.309999999999999</v>
      </c>
      <c r="M11" s="128"/>
    </row>
    <row r="12" spans="2:13" ht="15" x14ac:dyDescent="0.2">
      <c r="B12" s="2">
        <f t="shared" si="0"/>
        <v>3</v>
      </c>
      <c r="C12" s="3" t="s">
        <v>233</v>
      </c>
      <c r="D12" s="2" t="s">
        <v>205</v>
      </c>
      <c r="E12" s="16" t="s">
        <v>29</v>
      </c>
      <c r="F12" s="170">
        <f>'F5'!D21</f>
        <v>0</v>
      </c>
      <c r="G12" s="170">
        <f>'F5'!E21</f>
        <v>0</v>
      </c>
      <c r="H12" s="170">
        <f>'F5'!F21</f>
        <v>0</v>
      </c>
      <c r="I12" s="170">
        <f>'F5'!G21</f>
        <v>0</v>
      </c>
      <c r="J12" s="170">
        <f>'F5'!H21</f>
        <v>0</v>
      </c>
      <c r="K12" s="170">
        <f>'F5'!I21</f>
        <v>0</v>
      </c>
      <c r="L12" s="170">
        <f>'F5'!J21</f>
        <v>0</v>
      </c>
      <c r="M12" s="128"/>
    </row>
    <row r="13" spans="2:13" ht="15" x14ac:dyDescent="0.2">
      <c r="B13" s="2">
        <f t="shared" si="0"/>
        <v>4</v>
      </c>
      <c r="C13" s="18" t="s">
        <v>37</v>
      </c>
      <c r="D13" s="2" t="s">
        <v>205</v>
      </c>
      <c r="E13" s="16" t="s">
        <v>30</v>
      </c>
      <c r="F13" s="170">
        <f>'F6'!D19</f>
        <v>30.45</v>
      </c>
      <c r="G13" s="170">
        <f ca="1">'F6'!E19</f>
        <v>34.409999999999997</v>
      </c>
      <c r="H13" s="170">
        <f ca="1">'F6'!F19</f>
        <v>34.409999999999997</v>
      </c>
      <c r="I13" s="170">
        <f>'F6'!G19</f>
        <v>31.17</v>
      </c>
      <c r="J13" s="170">
        <f ca="1">'F6'!H19</f>
        <v>30.73</v>
      </c>
      <c r="K13" s="170">
        <f>'F6'!I19</f>
        <v>31.38</v>
      </c>
      <c r="L13" s="170">
        <f ca="1">'F6'!J19</f>
        <v>29.28</v>
      </c>
      <c r="M13" s="128"/>
    </row>
    <row r="14" spans="2:13" ht="15" x14ac:dyDescent="0.2">
      <c r="B14" s="2">
        <f t="shared" si="0"/>
        <v>5</v>
      </c>
      <c r="C14" s="3" t="s">
        <v>234</v>
      </c>
      <c r="D14" s="2" t="s">
        <v>205</v>
      </c>
      <c r="E14" s="16" t="s">
        <v>31</v>
      </c>
      <c r="F14" s="170">
        <f>'F7'!D21</f>
        <v>117.51</v>
      </c>
      <c r="G14" s="170">
        <f>'F7'!E21</f>
        <v>158.4</v>
      </c>
      <c r="H14" s="170">
        <f>'F7'!F21</f>
        <v>158.4</v>
      </c>
      <c r="I14" s="170">
        <f>'F7'!G21</f>
        <v>158.38</v>
      </c>
      <c r="J14" s="170">
        <f>'F7'!H21</f>
        <v>158.62</v>
      </c>
      <c r="K14" s="170">
        <f>'F7'!I21</f>
        <v>158.38</v>
      </c>
      <c r="L14" s="170">
        <f>'F7'!J21</f>
        <v>158.84</v>
      </c>
      <c r="M14" s="128"/>
    </row>
    <row r="15" spans="2:13" ht="15" x14ac:dyDescent="0.2">
      <c r="B15" s="2">
        <f t="shared" si="0"/>
        <v>6</v>
      </c>
      <c r="C15" s="3" t="s">
        <v>38</v>
      </c>
      <c r="D15" s="2" t="s">
        <v>205</v>
      </c>
      <c r="E15" s="16" t="s">
        <v>32</v>
      </c>
      <c r="F15" s="170">
        <f>'F8'!D29</f>
        <v>28</v>
      </c>
      <c r="G15" s="170">
        <f>'F8'!E29</f>
        <v>9.9</v>
      </c>
      <c r="H15" s="170">
        <f>G15</f>
        <v>9.9</v>
      </c>
      <c r="I15" s="170">
        <f>'F8'!G29</f>
        <v>29.13</v>
      </c>
      <c r="J15" s="170">
        <f>'F8'!H29</f>
        <v>10.31</v>
      </c>
      <c r="K15" s="170">
        <f>'F8'!I29</f>
        <v>30.29</v>
      </c>
      <c r="L15" s="170">
        <f>'F8'!J29</f>
        <v>10.73</v>
      </c>
      <c r="M15" s="128"/>
    </row>
    <row r="16" spans="2:13" ht="15" x14ac:dyDescent="0.2">
      <c r="B16" s="14">
        <f t="shared" si="0"/>
        <v>7</v>
      </c>
      <c r="C16" s="19" t="s">
        <v>235</v>
      </c>
      <c r="D16" s="14" t="s">
        <v>205</v>
      </c>
      <c r="E16" s="16"/>
      <c r="F16" s="170">
        <f>SUM(F10:F14)-F15</f>
        <v>388.92</v>
      </c>
      <c r="G16" s="170">
        <f ca="1">SUM(G10:G14)-G15</f>
        <v>434.69000000000005</v>
      </c>
      <c r="H16" s="170">
        <f t="shared" ref="H16:J16" ca="1" si="1">SUM(H10:H14)-H15</f>
        <v>434.69000000000005</v>
      </c>
      <c r="I16" s="170">
        <f>SUM(I10:I14)-I15</f>
        <v>439.53000000000003</v>
      </c>
      <c r="J16" s="170">
        <f t="shared" ca="1" si="1"/>
        <v>443.6</v>
      </c>
      <c r="K16" s="170">
        <f>SUM(K10:K14)-K15</f>
        <v>449.3</v>
      </c>
      <c r="L16" s="170">
        <f t="shared" ref="L16" ca="1" si="2">SUM(L10:L14)-L15</f>
        <v>453.20000000000005</v>
      </c>
      <c r="M16" s="128"/>
    </row>
    <row r="17" spans="2:13" ht="15" x14ac:dyDescent="0.2">
      <c r="B17" s="14" t="s">
        <v>71</v>
      </c>
      <c r="C17" s="14" t="s">
        <v>236</v>
      </c>
      <c r="D17" s="16"/>
      <c r="E17" s="16"/>
      <c r="F17" s="129"/>
      <c r="G17" s="129"/>
      <c r="H17" s="129"/>
      <c r="I17" s="129"/>
      <c r="J17" s="129"/>
      <c r="K17" s="129"/>
      <c r="L17" s="129"/>
      <c r="M17" s="3"/>
    </row>
    <row r="18" spans="2:13" ht="15" x14ac:dyDescent="0.2">
      <c r="B18" s="2">
        <v>1</v>
      </c>
      <c r="C18" s="16" t="s">
        <v>237</v>
      </c>
      <c r="D18" s="2" t="s">
        <v>204</v>
      </c>
      <c r="E18" s="16" t="s">
        <v>164</v>
      </c>
      <c r="F18" s="173">
        <f>'F12'!E19</f>
        <v>3.8396985825793775</v>
      </c>
      <c r="G18" s="173">
        <f>'F12'!F19</f>
        <v>3.6999341944979713</v>
      </c>
      <c r="H18" s="173">
        <f>'F12'!G19</f>
        <v>3.6999341944979713</v>
      </c>
      <c r="I18" s="173">
        <f>'F12'!H19</f>
        <v>3.18</v>
      </c>
      <c r="J18" s="173">
        <f>'F12'!I19</f>
        <v>3.18</v>
      </c>
      <c r="K18" s="173">
        <f>'F12'!J19</f>
        <v>2.9209999999999998</v>
      </c>
      <c r="L18" s="173">
        <f>'F12'!K19</f>
        <v>2.9209999999999998</v>
      </c>
      <c r="M18" s="3"/>
    </row>
    <row r="19" spans="2:13" ht="15" x14ac:dyDescent="0.2">
      <c r="B19" s="2">
        <f>B18+1</f>
        <v>2</v>
      </c>
      <c r="C19" s="16" t="s">
        <v>238</v>
      </c>
      <c r="D19" s="2" t="s">
        <v>45</v>
      </c>
      <c r="E19" s="16" t="s">
        <v>34</v>
      </c>
      <c r="F19" s="170">
        <f>G19</f>
        <v>2770.8157864080608</v>
      </c>
      <c r="G19" s="170">
        <f>'F10'!F30</f>
        <v>2770.8157864080608</v>
      </c>
      <c r="H19" s="170">
        <f>'F10'!G30</f>
        <v>2770.8157864080608</v>
      </c>
      <c r="I19" s="170">
        <f>J19</f>
        <v>3214.9012069999999</v>
      </c>
      <c r="J19" s="170">
        <f>'F10'!I23</f>
        <v>3214.9012069999999</v>
      </c>
      <c r="K19" s="170">
        <f>L19</f>
        <v>3529.25</v>
      </c>
      <c r="L19" s="170">
        <f>'F10'!K23</f>
        <v>3529.25</v>
      </c>
      <c r="M19" s="3"/>
    </row>
    <row r="20" spans="2:13" ht="15" x14ac:dyDescent="0.2">
      <c r="B20" s="2">
        <f>B19+1</f>
        <v>3</v>
      </c>
      <c r="C20" s="16" t="s">
        <v>236</v>
      </c>
      <c r="D20" s="2" t="s">
        <v>205</v>
      </c>
      <c r="E20" s="16"/>
      <c r="F20" s="170">
        <f>F18*F19/10</f>
        <v>1063.9097447659594</v>
      </c>
      <c r="G20" s="170">
        <f t="shared" ref="G20:L20" si="3">G18*G19/10</f>
        <v>1025.1836074785972</v>
      </c>
      <c r="H20" s="170">
        <f t="shared" si="3"/>
        <v>1025.1836074785972</v>
      </c>
      <c r="I20" s="170">
        <f t="shared" si="3"/>
        <v>1022.3385838260001</v>
      </c>
      <c r="J20" s="170">
        <f t="shared" si="3"/>
        <v>1022.3385838260001</v>
      </c>
      <c r="K20" s="170">
        <f t="shared" si="3"/>
        <v>1030.8939249999999</v>
      </c>
      <c r="L20" s="170">
        <f t="shared" si="3"/>
        <v>1030.8939249999999</v>
      </c>
      <c r="M20" s="3"/>
    </row>
    <row r="21" spans="2:13" ht="15" x14ac:dyDescent="0.2">
      <c r="B21" s="14" t="s">
        <v>72</v>
      </c>
      <c r="C21" s="14" t="s">
        <v>394</v>
      </c>
      <c r="D21" s="2" t="s">
        <v>205</v>
      </c>
      <c r="E21" s="3"/>
      <c r="F21" s="174">
        <f>F16+F20</f>
        <v>1452.8297447659595</v>
      </c>
      <c r="G21" s="170">
        <f t="shared" ref="G21:L21" ca="1" si="4">G16+G20</f>
        <v>1459.8736074785973</v>
      </c>
      <c r="H21" s="170">
        <f t="shared" ca="1" si="4"/>
        <v>1459.8736074785973</v>
      </c>
      <c r="I21" s="170">
        <f t="shared" si="4"/>
        <v>1461.8685838260001</v>
      </c>
      <c r="J21" s="170">
        <f t="shared" ca="1" si="4"/>
        <v>1465.938583826</v>
      </c>
      <c r="K21" s="170">
        <f t="shared" si="4"/>
        <v>1480.1939249999998</v>
      </c>
      <c r="L21" s="170">
        <f t="shared" ca="1" si="4"/>
        <v>1484.0939249999999</v>
      </c>
      <c r="M21" s="3"/>
    </row>
    <row r="22" spans="2:13" x14ac:dyDescent="0.2">
      <c r="F22" s="144"/>
    </row>
  </sheetData>
  <mergeCells count="8">
    <mergeCell ref="D6:D8"/>
    <mergeCell ref="B6:B8"/>
    <mergeCell ref="C6:C8"/>
    <mergeCell ref="E6:E8"/>
    <mergeCell ref="M6:M8"/>
    <mergeCell ref="F6:H6"/>
    <mergeCell ref="I6:J6"/>
    <mergeCell ref="K6:L6"/>
  </mergeCells>
  <pageMargins left="0.23" right="0.23" top="0.92" bottom="1" header="0.5" footer="0.5"/>
  <pageSetup paperSize="9" scale="88"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33"/>
  <sheetViews>
    <sheetView showGridLines="0" view="pageBreakPreview" zoomScale="81" zoomScaleNormal="93" zoomScaleSheetLayoutView="81" workbookViewId="0">
      <selection activeCell="P1" sqref="P1:P1048576"/>
    </sheetView>
  </sheetViews>
  <sheetFormatPr defaultColWidth="9.28515625" defaultRowHeight="14.25" x14ac:dyDescent="0.2"/>
  <cols>
    <col min="1" max="1" width="4.28515625" style="5" customWidth="1"/>
    <col min="2" max="2" width="30.42578125" style="5" customWidth="1"/>
    <col min="3" max="15" width="10.7109375" style="5" customWidth="1"/>
    <col min="16" max="16384" width="9.28515625" style="5"/>
  </cols>
  <sheetData>
    <row r="1" spans="2:16" ht="15" x14ac:dyDescent="0.2">
      <c r="B1" s="98"/>
    </row>
    <row r="2" spans="2:16" ht="14.25" customHeight="1" x14ac:dyDescent="0.2">
      <c r="B2" s="283" t="s">
        <v>403</v>
      </c>
      <c r="C2" s="283"/>
      <c r="D2" s="283"/>
      <c r="E2" s="283"/>
      <c r="F2" s="283"/>
      <c r="G2" s="283"/>
      <c r="H2" s="283"/>
      <c r="I2" s="283"/>
      <c r="J2" s="283"/>
      <c r="K2" s="283"/>
      <c r="L2" s="283"/>
      <c r="M2" s="283"/>
      <c r="N2" s="283"/>
      <c r="O2" s="283"/>
    </row>
    <row r="3" spans="2:16" ht="14.25" customHeight="1" x14ac:dyDescent="0.2">
      <c r="B3" s="283" t="s">
        <v>468</v>
      </c>
      <c r="C3" s="283"/>
      <c r="D3" s="283"/>
      <c r="E3" s="283"/>
      <c r="F3" s="283"/>
      <c r="G3" s="283"/>
      <c r="H3" s="283"/>
      <c r="I3" s="283"/>
      <c r="J3" s="283"/>
      <c r="K3" s="283"/>
      <c r="L3" s="283"/>
      <c r="M3" s="283"/>
      <c r="N3" s="283"/>
      <c r="O3" s="283"/>
    </row>
    <row r="4" spans="2:16" ht="15" x14ac:dyDescent="0.2">
      <c r="B4" s="283" t="s">
        <v>365</v>
      </c>
      <c r="C4" s="283"/>
      <c r="D4" s="283"/>
      <c r="E4" s="283"/>
      <c r="F4" s="283"/>
      <c r="G4" s="283"/>
      <c r="H4" s="283"/>
      <c r="I4" s="283"/>
      <c r="J4" s="283"/>
      <c r="K4" s="283"/>
      <c r="L4" s="283"/>
      <c r="M4" s="283"/>
      <c r="N4" s="283"/>
      <c r="O4" s="283"/>
    </row>
    <row r="5" spans="2:16" ht="16.5" x14ac:dyDescent="0.2">
      <c r="B5" s="24"/>
      <c r="C5" s="73"/>
      <c r="D5" s="73"/>
      <c r="E5" s="73"/>
      <c r="F5" s="73"/>
      <c r="G5" s="73"/>
      <c r="H5" s="73"/>
      <c r="I5" s="87"/>
    </row>
    <row r="6" spans="2:16" ht="15" x14ac:dyDescent="0.2">
      <c r="B6" s="24" t="s">
        <v>405</v>
      </c>
      <c r="C6" s="73"/>
      <c r="D6" s="73"/>
      <c r="E6" s="73"/>
      <c r="F6" s="73"/>
      <c r="G6" s="73"/>
      <c r="H6" s="73"/>
      <c r="I6" s="73"/>
      <c r="J6" s="73"/>
      <c r="K6" s="73"/>
      <c r="L6" s="73"/>
      <c r="M6" s="73"/>
      <c r="N6" s="73"/>
      <c r="O6" s="35"/>
    </row>
    <row r="7" spans="2:16" ht="18.75" customHeight="1" x14ac:dyDescent="0.2">
      <c r="B7" s="286" t="s">
        <v>366</v>
      </c>
      <c r="C7" s="323" t="s">
        <v>153</v>
      </c>
      <c r="D7" s="307"/>
      <c r="E7" s="307"/>
      <c r="F7" s="307"/>
      <c r="G7" s="307"/>
      <c r="H7" s="307"/>
      <c r="I7" s="307"/>
      <c r="J7" s="307"/>
      <c r="K7" s="307"/>
      <c r="L7" s="307"/>
      <c r="M7" s="307"/>
      <c r="N7" s="308"/>
      <c r="O7" s="223" t="s">
        <v>154</v>
      </c>
      <c r="P7" s="87"/>
    </row>
    <row r="8" spans="2:16" ht="15" x14ac:dyDescent="0.2">
      <c r="B8" s="288"/>
      <c r="C8" s="223" t="s">
        <v>141</v>
      </c>
      <c r="D8" s="223" t="s">
        <v>142</v>
      </c>
      <c r="E8" s="224" t="s">
        <v>143</v>
      </c>
      <c r="F8" s="224" t="s">
        <v>144</v>
      </c>
      <c r="G8" s="224" t="s">
        <v>145</v>
      </c>
      <c r="H8" s="224" t="s">
        <v>146</v>
      </c>
      <c r="I8" s="224" t="s">
        <v>147</v>
      </c>
      <c r="J8" s="224" t="s">
        <v>148</v>
      </c>
      <c r="K8" s="224" t="s">
        <v>149</v>
      </c>
      <c r="L8" s="224" t="s">
        <v>150</v>
      </c>
      <c r="M8" s="224" t="s">
        <v>151</v>
      </c>
      <c r="N8" s="224" t="s">
        <v>152</v>
      </c>
      <c r="O8" s="225"/>
    </row>
    <row r="9" spans="2:16" s="32" customFormat="1" ht="15" x14ac:dyDescent="0.2">
      <c r="B9" s="162" t="s">
        <v>461</v>
      </c>
      <c r="C9" s="161">
        <f>271.887311*0.7055</f>
        <v>191.8164979105</v>
      </c>
      <c r="D9" s="161">
        <f>262.316861*0.7055</f>
        <v>185.06454543550001</v>
      </c>
      <c r="E9" s="161">
        <f>232.694743*0.7055</f>
        <v>164.1661411865</v>
      </c>
      <c r="F9" s="161">
        <f>79.86*0.7055</f>
        <v>56.341230000000003</v>
      </c>
      <c r="G9" s="161">
        <f>138.4*0.7055</f>
        <v>97.641200000000012</v>
      </c>
      <c r="H9" s="161">
        <f>230.92*0.7055</f>
        <v>162.91406000000001</v>
      </c>
      <c r="I9" s="161">
        <f>220.77*0.7055</f>
        <v>155.75323500000002</v>
      </c>
      <c r="J9" s="161">
        <f>222.68*0.7055</f>
        <v>157.10074</v>
      </c>
      <c r="K9" s="161">
        <f>256.67*0.7055</f>
        <v>181.08068500000002</v>
      </c>
      <c r="L9" s="161">
        <f>283.28*0.7055</f>
        <v>199.85404</v>
      </c>
      <c r="M9" s="161">
        <f>293.3*0.7055</f>
        <v>206.92315000000002</v>
      </c>
      <c r="N9" s="161">
        <f>278.03*0.7055</f>
        <v>196.15016499999999</v>
      </c>
      <c r="O9" s="179">
        <f>SUM(C9:N9)</f>
        <v>1954.8056895325001</v>
      </c>
    </row>
    <row r="10" spans="2:16" s="32" customFormat="1" ht="15" x14ac:dyDescent="0.2">
      <c r="B10" s="162"/>
      <c r="C10" s="161"/>
      <c r="D10" s="161"/>
      <c r="E10" s="161"/>
      <c r="F10" s="161"/>
      <c r="G10" s="161"/>
      <c r="H10" s="161"/>
      <c r="I10" s="179"/>
      <c r="J10" s="179"/>
      <c r="K10" s="179"/>
      <c r="L10" s="179"/>
      <c r="M10" s="179"/>
      <c r="N10" s="179"/>
      <c r="O10" s="179"/>
    </row>
    <row r="11" spans="2:16" s="32" customFormat="1" ht="15" x14ac:dyDescent="0.2">
      <c r="B11" s="162" t="s">
        <v>462</v>
      </c>
      <c r="C11" s="161">
        <f>271.887311*0.2945</f>
        <v>80.070813089499993</v>
      </c>
      <c r="D11" s="161">
        <f>262.316861*0.2945</f>
        <v>77.252315564499995</v>
      </c>
      <c r="E11" s="161">
        <f>232.694743*0.2945</f>
        <v>68.528601813499989</v>
      </c>
      <c r="F11" s="161">
        <f>79.86*0.2945</f>
        <v>23.51877</v>
      </c>
      <c r="G11" s="161">
        <f>138.4*0.2945</f>
        <v>40.758800000000001</v>
      </c>
      <c r="H11" s="161">
        <f>230.92*0.2945</f>
        <v>68.005939999999995</v>
      </c>
      <c r="I11" s="161">
        <f>220.77*0.2945</f>
        <v>65.016765000000007</v>
      </c>
      <c r="J11" s="161">
        <f>222.68*0.2945</f>
        <v>65.579260000000005</v>
      </c>
      <c r="K11" s="161">
        <f>256.67*0.2945</f>
        <v>75.589314999999999</v>
      </c>
      <c r="L11" s="161">
        <f>283.28*0.2945</f>
        <v>83.425959999999989</v>
      </c>
      <c r="M11" s="161">
        <f>293.3*0.2945</f>
        <v>86.376850000000005</v>
      </c>
      <c r="N11" s="161">
        <f>278.03*0.2945</f>
        <v>81.879834999999986</v>
      </c>
      <c r="O11" s="161">
        <f>SUM(C11:N11)</f>
        <v>816.00322546749987</v>
      </c>
    </row>
    <row r="12" spans="2:16" s="32" customFormat="1" ht="15" x14ac:dyDescent="0.2">
      <c r="B12" s="226"/>
      <c r="C12" s="179"/>
      <c r="D12" s="179"/>
      <c r="E12" s="179"/>
      <c r="F12" s="179"/>
      <c r="G12" s="179"/>
      <c r="H12" s="179"/>
      <c r="I12" s="179"/>
      <c r="J12" s="179"/>
      <c r="K12" s="179"/>
      <c r="L12" s="179"/>
      <c r="M12" s="179"/>
      <c r="N12" s="179"/>
      <c r="O12" s="179"/>
    </row>
    <row r="13" spans="2:16" ht="15" x14ac:dyDescent="0.2">
      <c r="B13" s="179" t="s">
        <v>139</v>
      </c>
      <c r="C13" s="227">
        <f>C9+C11</f>
        <v>271.88731100000001</v>
      </c>
      <c r="D13" s="227">
        <f t="shared" ref="D13:N13" si="0">D9+D11</f>
        <v>262.31686100000002</v>
      </c>
      <c r="E13" s="227">
        <f t="shared" si="0"/>
        <v>232.69474299999999</v>
      </c>
      <c r="F13" s="227">
        <f t="shared" si="0"/>
        <v>79.86</v>
      </c>
      <c r="G13" s="227">
        <f t="shared" si="0"/>
        <v>138.4</v>
      </c>
      <c r="H13" s="227">
        <f>H9+H11</f>
        <v>230.92000000000002</v>
      </c>
      <c r="I13" s="227">
        <f t="shared" si="0"/>
        <v>220.77000000000004</v>
      </c>
      <c r="J13" s="227">
        <f t="shared" si="0"/>
        <v>222.68</v>
      </c>
      <c r="K13" s="227">
        <f t="shared" si="0"/>
        <v>256.67</v>
      </c>
      <c r="L13" s="227">
        <f>L9+L11</f>
        <v>283.27999999999997</v>
      </c>
      <c r="M13" s="227">
        <f t="shared" si="0"/>
        <v>293.3</v>
      </c>
      <c r="N13" s="227">
        <f t="shared" si="0"/>
        <v>278.02999999999997</v>
      </c>
      <c r="O13" s="227">
        <f>O9+O11</f>
        <v>2770.8089150000001</v>
      </c>
    </row>
    <row r="15" spans="2:16" ht="15" x14ac:dyDescent="0.2">
      <c r="B15" s="24"/>
      <c r="C15" s="73"/>
      <c r="D15" s="73"/>
      <c r="E15" s="73"/>
      <c r="F15" s="73"/>
      <c r="G15" s="73"/>
      <c r="H15" s="73"/>
      <c r="I15" s="73"/>
      <c r="J15" s="73"/>
      <c r="K15" s="73"/>
      <c r="L15" s="73"/>
      <c r="M15" s="73"/>
      <c r="N15" s="73"/>
      <c r="O15" s="35"/>
    </row>
    <row r="16" spans="2:16" ht="15" x14ac:dyDescent="0.2">
      <c r="B16" s="24" t="s">
        <v>406</v>
      </c>
      <c r="C16" s="73"/>
      <c r="D16" s="73"/>
      <c r="E16" s="73"/>
      <c r="F16" s="73"/>
      <c r="G16" s="73"/>
      <c r="H16" s="73"/>
      <c r="I16" s="35"/>
    </row>
    <row r="17" spans="2:15" ht="15" x14ac:dyDescent="0.2">
      <c r="B17" s="222"/>
      <c r="C17" s="323" t="s">
        <v>153</v>
      </c>
      <c r="D17" s="307"/>
      <c r="E17" s="307"/>
      <c r="F17" s="307"/>
      <c r="G17" s="307"/>
      <c r="H17" s="308"/>
      <c r="I17" s="324" t="s">
        <v>5</v>
      </c>
      <c r="J17" s="325"/>
      <c r="K17" s="325"/>
      <c r="L17" s="325"/>
      <c r="M17" s="325"/>
      <c r="N17" s="326"/>
      <c r="O17" s="228" t="s">
        <v>140</v>
      </c>
    </row>
    <row r="18" spans="2:15" ht="15" x14ac:dyDescent="0.2">
      <c r="B18" s="223" t="s">
        <v>366</v>
      </c>
      <c r="C18" s="223" t="s">
        <v>141</v>
      </c>
      <c r="D18" s="223" t="s">
        <v>142</v>
      </c>
      <c r="E18" s="224" t="s">
        <v>143</v>
      </c>
      <c r="F18" s="224" t="s">
        <v>144</v>
      </c>
      <c r="G18" s="224" t="s">
        <v>145</v>
      </c>
      <c r="H18" s="224" t="s">
        <v>146</v>
      </c>
      <c r="I18" s="224" t="s">
        <v>147</v>
      </c>
      <c r="J18" s="224" t="s">
        <v>148</v>
      </c>
      <c r="K18" s="224" t="s">
        <v>149</v>
      </c>
      <c r="L18" s="224" t="s">
        <v>150</v>
      </c>
      <c r="M18" s="224" t="s">
        <v>151</v>
      </c>
      <c r="N18" s="224" t="s">
        <v>152</v>
      </c>
      <c r="O18" s="224" t="s">
        <v>139</v>
      </c>
    </row>
    <row r="19" spans="2:15" ht="15" x14ac:dyDescent="0.2">
      <c r="B19" s="162" t="s">
        <v>461</v>
      </c>
      <c r="C19" s="161">
        <f>256.26*0.7055</f>
        <v>180.79142999999999</v>
      </c>
      <c r="D19" s="161">
        <f>200.19*0.7055</f>
        <v>141.23404500000001</v>
      </c>
      <c r="E19" s="161">
        <f>245.54*0.7055</f>
        <v>173.22846999999999</v>
      </c>
      <c r="F19" s="161">
        <f>233.5*0.7055</f>
        <v>164.73425</v>
      </c>
      <c r="G19" s="161">
        <f>267.28*0.7055</f>
        <v>188.56603999999999</v>
      </c>
      <c r="H19" s="161">
        <f>253.19*0.7055</f>
        <v>178.62554499999999</v>
      </c>
      <c r="I19" s="229">
        <f>299.5995*0.7055</f>
        <v>211.36744725</v>
      </c>
      <c r="J19" s="229">
        <f>289.935*0.7055</f>
        <v>204.54914250000002</v>
      </c>
      <c r="K19" s="229">
        <f>299.5995*0.7055</f>
        <v>211.36744725</v>
      </c>
      <c r="L19" s="229">
        <f>299.5995*0.7055</f>
        <v>211.36744725</v>
      </c>
      <c r="M19" s="229">
        <f>270.606*0.7055</f>
        <v>190.912533</v>
      </c>
      <c r="N19" s="229">
        <f>299.5995*0.7055</f>
        <v>211.36744725</v>
      </c>
      <c r="O19" s="161">
        <f>C19+D19+E19+F19+G19+H19+I19+J19+K19+L19+M19+N19</f>
        <v>2268.1112444999999</v>
      </c>
    </row>
    <row r="20" spans="2:15" ht="15" x14ac:dyDescent="0.2">
      <c r="B20" s="162"/>
      <c r="C20" s="161"/>
      <c r="D20" s="161"/>
      <c r="E20" s="161"/>
      <c r="F20" s="161"/>
      <c r="G20" s="161"/>
      <c r="H20" s="161"/>
      <c r="I20" s="229"/>
      <c r="J20" s="229"/>
      <c r="K20" s="229"/>
      <c r="L20" s="229"/>
      <c r="M20" s="229"/>
      <c r="N20" s="229"/>
      <c r="O20" s="161"/>
    </row>
    <row r="21" spans="2:15" ht="15" x14ac:dyDescent="0.2">
      <c r="B21" s="162" t="s">
        <v>462</v>
      </c>
      <c r="C21" s="161">
        <f>256.26*0.2945</f>
        <v>75.46857</v>
      </c>
      <c r="D21" s="161">
        <f>200.19*0.2945</f>
        <v>58.955954999999996</v>
      </c>
      <c r="E21" s="161">
        <f>245.54*0.2945</f>
        <v>72.311529999999991</v>
      </c>
      <c r="F21" s="161">
        <f>233.5*0.2945</f>
        <v>68.765749999999997</v>
      </c>
      <c r="G21" s="161">
        <f>267.28*0.2945</f>
        <v>78.713959999999986</v>
      </c>
      <c r="H21" s="161">
        <f>253.19*0.2945</f>
        <v>74.564454999999995</v>
      </c>
      <c r="I21" s="229">
        <f>299.5995*0.2945</f>
        <v>88.232052749999994</v>
      </c>
      <c r="J21" s="229">
        <f>289.935*0.2945</f>
        <v>85.3858575</v>
      </c>
      <c r="K21" s="229">
        <f>299.5995*0.2945</f>
        <v>88.232052749999994</v>
      </c>
      <c r="L21" s="229">
        <f>299.5995*0.2945</f>
        <v>88.232052749999994</v>
      </c>
      <c r="M21" s="229">
        <f>270.606*0.2945</f>
        <v>79.693466999999998</v>
      </c>
      <c r="N21" s="229">
        <f>299.5995*0.2945</f>
        <v>88.232052749999994</v>
      </c>
      <c r="O21" s="161">
        <f t="shared" ref="O21" si="1">C21+D21+E21+F21+G21+H21+I21+J21+K21+L21+M21+N21</f>
        <v>946.78775549999989</v>
      </c>
    </row>
    <row r="22" spans="2:15" x14ac:dyDescent="0.2">
      <c r="B22" s="226"/>
      <c r="C22" s="230"/>
      <c r="D22" s="230"/>
      <c r="E22" s="230"/>
      <c r="F22" s="230"/>
      <c r="G22" s="230"/>
      <c r="H22" s="230"/>
      <c r="I22" s="230"/>
      <c r="J22" s="230"/>
      <c r="K22" s="230"/>
      <c r="L22" s="230"/>
      <c r="M22" s="230"/>
      <c r="N22" s="230"/>
      <c r="O22" s="230"/>
    </row>
    <row r="23" spans="2:15" ht="15" x14ac:dyDescent="0.2">
      <c r="B23" s="179" t="s">
        <v>139</v>
      </c>
      <c r="C23" s="227">
        <f>C19+C21</f>
        <v>256.26</v>
      </c>
      <c r="D23" s="227">
        <f t="shared" ref="D23:N23" si="2">D19+D21</f>
        <v>200.19</v>
      </c>
      <c r="E23" s="227">
        <f t="shared" si="2"/>
        <v>245.53999999999996</v>
      </c>
      <c r="F23" s="227">
        <f t="shared" si="2"/>
        <v>233.5</v>
      </c>
      <c r="G23" s="227">
        <f t="shared" si="2"/>
        <v>267.27999999999997</v>
      </c>
      <c r="H23" s="227">
        <f t="shared" si="2"/>
        <v>253.19</v>
      </c>
      <c r="I23" s="227">
        <f t="shared" si="2"/>
        <v>299.59949999999998</v>
      </c>
      <c r="J23" s="227">
        <f t="shared" si="2"/>
        <v>289.935</v>
      </c>
      <c r="K23" s="227">
        <f>K19+K21</f>
        <v>299.59949999999998</v>
      </c>
      <c r="L23" s="227">
        <f t="shared" si="2"/>
        <v>299.59949999999998</v>
      </c>
      <c r="M23" s="227">
        <f t="shared" si="2"/>
        <v>270.60599999999999</v>
      </c>
      <c r="N23" s="227">
        <f t="shared" si="2"/>
        <v>299.59949999999998</v>
      </c>
      <c r="O23" s="227">
        <f>O19+O21</f>
        <v>3214.8989999999999</v>
      </c>
    </row>
    <row r="25" spans="2:15" ht="15" x14ac:dyDescent="0.2">
      <c r="B25" s="283"/>
      <c r="C25" s="283"/>
      <c r="D25" s="283"/>
      <c r="E25" s="283"/>
      <c r="F25" s="283"/>
      <c r="G25" s="283"/>
      <c r="H25" s="283"/>
      <c r="I25" s="283"/>
      <c r="J25" s="283"/>
      <c r="K25" s="283"/>
      <c r="L25" s="283"/>
      <c r="M25" s="283"/>
      <c r="N25" s="283"/>
      <c r="O25" s="283"/>
    </row>
    <row r="26" spans="2:15" ht="15" x14ac:dyDescent="0.2">
      <c r="B26" s="24" t="s">
        <v>467</v>
      </c>
      <c r="C26" s="73"/>
      <c r="D26" s="73"/>
      <c r="E26" s="73"/>
      <c r="F26" s="73"/>
      <c r="G26" s="73"/>
      <c r="H26" s="73"/>
      <c r="I26" s="35"/>
    </row>
    <row r="27" spans="2:15" ht="15" x14ac:dyDescent="0.2">
      <c r="B27" s="24" t="s">
        <v>488</v>
      </c>
      <c r="C27" s="25"/>
      <c r="D27" s="25"/>
      <c r="O27" s="25" t="s">
        <v>140</v>
      </c>
    </row>
    <row r="28" spans="2:15" ht="15" x14ac:dyDescent="0.2">
      <c r="B28" s="223" t="s">
        <v>366</v>
      </c>
      <c r="C28" s="223" t="s">
        <v>141</v>
      </c>
      <c r="D28" s="223" t="s">
        <v>142</v>
      </c>
      <c r="E28" s="224" t="s">
        <v>143</v>
      </c>
      <c r="F28" s="224" t="s">
        <v>144</v>
      </c>
      <c r="G28" s="224" t="s">
        <v>145</v>
      </c>
      <c r="H28" s="224" t="s">
        <v>146</v>
      </c>
      <c r="I28" s="224" t="s">
        <v>147</v>
      </c>
      <c r="J28" s="224" t="s">
        <v>148</v>
      </c>
      <c r="K28" s="224" t="s">
        <v>149</v>
      </c>
      <c r="L28" s="224" t="s">
        <v>150</v>
      </c>
      <c r="M28" s="224" t="s">
        <v>151</v>
      </c>
      <c r="N28" s="224" t="s">
        <v>152</v>
      </c>
      <c r="O28" s="224" t="s">
        <v>139</v>
      </c>
    </row>
    <row r="29" spans="2:15" ht="15" x14ac:dyDescent="0.2">
      <c r="B29" s="162" t="s">
        <v>461</v>
      </c>
      <c r="C29" s="229">
        <f>330.87*0.7055</f>
        <v>233.428785</v>
      </c>
      <c r="D29" s="229">
        <f>341.9*0.7055</f>
        <v>241.21044999999998</v>
      </c>
      <c r="E29" s="229">
        <v>0</v>
      </c>
      <c r="F29" s="229">
        <f>176.46*0.7055</f>
        <v>124.49253</v>
      </c>
      <c r="G29" s="229">
        <f>341.9*0.7055</f>
        <v>241.21044999999998</v>
      </c>
      <c r="H29" s="229">
        <f>330.87*0.7055</f>
        <v>233.428785</v>
      </c>
      <c r="I29" s="229">
        <f>341.9*0.7055</f>
        <v>241.21044999999998</v>
      </c>
      <c r="J29" s="229">
        <f>330.87*0.7055</f>
        <v>233.428785</v>
      </c>
      <c r="K29" s="229">
        <f t="shared" ref="K29:L29" si="3">341.9*0.7055</f>
        <v>241.21044999999998</v>
      </c>
      <c r="L29" s="229">
        <f t="shared" si="3"/>
        <v>241.21044999999998</v>
      </c>
      <c r="M29" s="229">
        <f>308.81*0.7055</f>
        <v>217.865455</v>
      </c>
      <c r="N29" s="229">
        <f>341.9*0.7055</f>
        <v>241.21044999999998</v>
      </c>
      <c r="O29" s="229">
        <f>SUM(C29:N29)</f>
        <v>2489.9070400000001</v>
      </c>
    </row>
    <row r="30" spans="2:15" ht="15" x14ac:dyDescent="0.2">
      <c r="B30" s="162"/>
      <c r="C30" s="231"/>
      <c r="D30" s="231"/>
      <c r="E30" s="231"/>
      <c r="F30" s="231"/>
      <c r="G30" s="231"/>
      <c r="H30" s="231"/>
      <c r="I30" s="231"/>
      <c r="J30" s="231"/>
      <c r="K30" s="231"/>
      <c r="L30" s="231"/>
      <c r="M30" s="231"/>
      <c r="N30" s="231"/>
      <c r="O30" s="231"/>
    </row>
    <row r="31" spans="2:15" ht="15" x14ac:dyDescent="0.2">
      <c r="B31" s="162" t="s">
        <v>462</v>
      </c>
      <c r="C31" s="229">
        <f>330.87*0.2945</f>
        <v>97.441215</v>
      </c>
      <c r="D31" s="229">
        <f>341.9*0.2945</f>
        <v>100.68954999999998</v>
      </c>
      <c r="E31" s="229">
        <v>0</v>
      </c>
      <c r="F31" s="229">
        <f>176.46*0.2945</f>
        <v>51.967469999999999</v>
      </c>
      <c r="G31" s="229">
        <f>341.9*0.2945</f>
        <v>100.68954999999998</v>
      </c>
      <c r="H31" s="229">
        <f>330.87*0.2945</f>
        <v>97.441215</v>
      </c>
      <c r="I31" s="229">
        <f>341.9*0.2945</f>
        <v>100.68954999999998</v>
      </c>
      <c r="J31" s="229">
        <f>330.87*0.2945</f>
        <v>97.441215</v>
      </c>
      <c r="K31" s="229">
        <f t="shared" ref="K31:L31" si="4">341.9*0.2945</f>
        <v>100.68954999999998</v>
      </c>
      <c r="L31" s="229">
        <f t="shared" si="4"/>
        <v>100.68954999999998</v>
      </c>
      <c r="M31" s="229">
        <f>308.81*0.2945</f>
        <v>90.944544999999991</v>
      </c>
      <c r="N31" s="229">
        <f>341.9*0.2945</f>
        <v>100.68954999999998</v>
      </c>
      <c r="O31" s="229">
        <f>SUM(C31:N31)</f>
        <v>1039.3729599999997</v>
      </c>
    </row>
    <row r="32" spans="2:15" x14ac:dyDescent="0.2">
      <c r="B32" s="226"/>
      <c r="C32" s="230"/>
      <c r="D32" s="230"/>
      <c r="E32" s="230"/>
      <c r="F32" s="230"/>
      <c r="G32" s="230"/>
      <c r="H32" s="230"/>
      <c r="I32" s="230"/>
      <c r="J32" s="230"/>
      <c r="K32" s="230"/>
      <c r="L32" s="230"/>
      <c r="M32" s="230"/>
      <c r="N32" s="230"/>
      <c r="O32" s="230"/>
    </row>
    <row r="33" spans="2:15" ht="15" x14ac:dyDescent="0.2">
      <c r="B33" s="179" t="s">
        <v>139</v>
      </c>
      <c r="C33" s="227">
        <f>C29+C31</f>
        <v>330.87</v>
      </c>
      <c r="D33" s="227">
        <f t="shared" ref="D33:M33" si="5">D29+D31</f>
        <v>341.9</v>
      </c>
      <c r="E33" s="227">
        <f t="shared" si="5"/>
        <v>0</v>
      </c>
      <c r="F33" s="227">
        <f t="shared" si="5"/>
        <v>176.46</v>
      </c>
      <c r="G33" s="227">
        <f t="shared" si="5"/>
        <v>341.9</v>
      </c>
      <c r="H33" s="227">
        <f t="shared" si="5"/>
        <v>330.87</v>
      </c>
      <c r="I33" s="227">
        <f t="shared" si="5"/>
        <v>341.9</v>
      </c>
      <c r="J33" s="227">
        <f t="shared" si="5"/>
        <v>330.87</v>
      </c>
      <c r="K33" s="227">
        <f t="shared" si="5"/>
        <v>341.9</v>
      </c>
      <c r="L33" s="227">
        <f t="shared" si="5"/>
        <v>341.9</v>
      </c>
      <c r="M33" s="227">
        <f t="shared" si="5"/>
        <v>308.81</v>
      </c>
      <c r="N33" s="227">
        <f>N29+N31</f>
        <v>341.9</v>
      </c>
      <c r="O33" s="227">
        <f t="shared" ref="O33" si="6">O29+O31</f>
        <v>3529.2799999999997</v>
      </c>
    </row>
  </sheetData>
  <mergeCells count="8">
    <mergeCell ref="B25:O25"/>
    <mergeCell ref="B2:O2"/>
    <mergeCell ref="B3:O3"/>
    <mergeCell ref="B4:O4"/>
    <mergeCell ref="B7:B8"/>
    <mergeCell ref="C7:N7"/>
    <mergeCell ref="C17:H17"/>
    <mergeCell ref="I17:N17"/>
  </mergeCells>
  <pageMargins left="0.13" right="0.33" top="1" bottom="0.37" header="0.5" footer="0.5"/>
  <pageSetup paperSize="9" scale="83"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1"/>
  <sheetViews>
    <sheetView showGridLines="0" view="pageBreakPreview" topLeftCell="A11" zoomScale="93" zoomScaleNormal="93" zoomScaleSheetLayoutView="93" workbookViewId="0">
      <selection activeCell="R8" sqref="R1:R1048576"/>
    </sheetView>
  </sheetViews>
  <sheetFormatPr defaultColWidth="9.28515625" defaultRowHeight="15" x14ac:dyDescent="0.2"/>
  <cols>
    <col min="1" max="1" width="2.42578125" style="13" customWidth="1"/>
    <col min="2" max="2" width="5" style="13" customWidth="1"/>
    <col min="3" max="3" width="40.5703125" style="13" customWidth="1"/>
    <col min="4" max="4" width="13" style="13" customWidth="1"/>
    <col min="5" max="5" width="9.85546875" style="13" customWidth="1"/>
    <col min="6" max="6" width="10.42578125" style="13" customWidth="1"/>
    <col min="7" max="7" width="9" style="13" customWidth="1"/>
    <col min="8" max="8" width="9.7109375" style="13" customWidth="1"/>
    <col min="9" max="9" width="10" style="13" customWidth="1"/>
    <col min="10" max="10" width="11.140625" style="13" customWidth="1"/>
    <col min="11" max="11" width="9.5703125" style="13" customWidth="1"/>
    <col min="12" max="12" width="11.85546875" style="13" customWidth="1"/>
    <col min="13" max="13" width="9.7109375" style="13" customWidth="1"/>
    <col min="14" max="15" width="9" style="13" customWidth="1"/>
    <col min="16" max="16" width="9.28515625" style="13" customWidth="1"/>
    <col min="17" max="17" width="10.42578125" style="36" customWidth="1"/>
    <col min="18" max="16384" width="9.28515625" style="13"/>
  </cols>
  <sheetData>
    <row r="1" spans="2:17" s="5" customFormat="1" ht="15" customHeight="1" x14ac:dyDescent="0.2">
      <c r="Q1" s="32"/>
    </row>
    <row r="2" spans="2:17" s="5" customFormat="1" ht="15" customHeight="1" x14ac:dyDescent="0.2">
      <c r="I2" s="32" t="s">
        <v>403</v>
      </c>
      <c r="Q2" s="32"/>
    </row>
    <row r="3" spans="2:17" s="5" customFormat="1" ht="15" customHeight="1" x14ac:dyDescent="0.2">
      <c r="I3" s="32" t="s">
        <v>468</v>
      </c>
      <c r="Q3" s="32"/>
    </row>
    <row r="4" spans="2:17" x14ac:dyDescent="0.2">
      <c r="B4" s="24" t="s">
        <v>405</v>
      </c>
      <c r="I4" s="35" t="s">
        <v>369</v>
      </c>
    </row>
    <row r="5" spans="2:17" x14ac:dyDescent="0.2">
      <c r="B5" s="36" t="s">
        <v>12</v>
      </c>
    </row>
    <row r="6" spans="2:17" ht="30" x14ac:dyDescent="0.2">
      <c r="B6" s="100" t="s">
        <v>193</v>
      </c>
      <c r="C6" s="100" t="s">
        <v>18</v>
      </c>
      <c r="D6" s="100" t="s">
        <v>39</v>
      </c>
      <c r="E6" s="31" t="s">
        <v>141</v>
      </c>
      <c r="F6" s="31" t="s">
        <v>142</v>
      </c>
      <c r="G6" s="99" t="s">
        <v>143</v>
      </c>
      <c r="H6" s="99" t="s">
        <v>144</v>
      </c>
      <c r="I6" s="99" t="s">
        <v>145</v>
      </c>
      <c r="J6" s="99" t="s">
        <v>146</v>
      </c>
      <c r="K6" s="99" t="s">
        <v>147</v>
      </c>
      <c r="L6" s="99" t="s">
        <v>148</v>
      </c>
      <c r="M6" s="99" t="s">
        <v>149</v>
      </c>
      <c r="N6" s="99" t="s">
        <v>150</v>
      </c>
      <c r="O6" s="99" t="s">
        <v>151</v>
      </c>
      <c r="P6" s="99" t="s">
        <v>152</v>
      </c>
      <c r="Q6" s="101" t="s">
        <v>139</v>
      </c>
    </row>
    <row r="7" spans="2:17" ht="17.25" x14ac:dyDescent="0.2">
      <c r="B7" s="102">
        <v>1</v>
      </c>
      <c r="C7" s="103" t="s">
        <v>172</v>
      </c>
      <c r="D7" s="102" t="s">
        <v>42</v>
      </c>
      <c r="E7" s="187">
        <v>85</v>
      </c>
      <c r="F7" s="187">
        <v>85</v>
      </c>
      <c r="G7" s="187">
        <v>85</v>
      </c>
      <c r="H7" s="187">
        <v>85</v>
      </c>
      <c r="I7" s="187">
        <v>85</v>
      </c>
      <c r="J7" s="187">
        <v>85</v>
      </c>
      <c r="K7" s="187">
        <v>85</v>
      </c>
      <c r="L7" s="187">
        <v>85</v>
      </c>
      <c r="M7" s="187">
        <v>85</v>
      </c>
      <c r="N7" s="187">
        <v>85</v>
      </c>
      <c r="O7" s="187">
        <v>85</v>
      </c>
      <c r="P7" s="187">
        <v>85</v>
      </c>
      <c r="Q7" s="188">
        <v>85</v>
      </c>
    </row>
    <row r="8" spans="2:17" ht="17.25" x14ac:dyDescent="0.2">
      <c r="B8" s="102">
        <f>B7+1</f>
        <v>2</v>
      </c>
      <c r="C8" s="103" t="s">
        <v>194</v>
      </c>
      <c r="D8" s="102" t="s">
        <v>42</v>
      </c>
      <c r="E8" s="187">
        <v>89.42</v>
      </c>
      <c r="F8" s="187">
        <v>87.1</v>
      </c>
      <c r="G8" s="187">
        <v>83.34</v>
      </c>
      <c r="H8" s="187">
        <v>30.37</v>
      </c>
      <c r="I8" s="187">
        <v>54.79</v>
      </c>
      <c r="J8" s="187">
        <v>90.15</v>
      </c>
      <c r="K8" s="187">
        <v>85.65</v>
      </c>
      <c r="L8" s="187">
        <v>96.75</v>
      </c>
      <c r="M8" s="187">
        <v>99.89</v>
      </c>
      <c r="N8" s="187">
        <v>98.44</v>
      </c>
      <c r="O8" s="187">
        <v>96.18</v>
      </c>
      <c r="P8" s="187">
        <v>86.42</v>
      </c>
      <c r="Q8" s="188">
        <v>82.94</v>
      </c>
    </row>
    <row r="9" spans="2:17" ht="17.25" x14ac:dyDescent="0.2">
      <c r="B9" s="102">
        <f t="shared" ref="B9:B25" si="0">B8+1</f>
        <v>3</v>
      </c>
      <c r="C9" s="103" t="s">
        <v>195</v>
      </c>
      <c r="D9" s="102" t="s">
        <v>42</v>
      </c>
      <c r="E9" s="187">
        <v>91.6</v>
      </c>
      <c r="F9" s="187">
        <v>90.39</v>
      </c>
      <c r="G9" s="187">
        <v>88.73</v>
      </c>
      <c r="H9" s="187">
        <v>74.09</v>
      </c>
      <c r="I9" s="187">
        <v>70.45</v>
      </c>
      <c r="J9" s="187">
        <v>74.040000000000006</v>
      </c>
      <c r="K9" s="187">
        <v>74.22</v>
      </c>
      <c r="L9" s="187">
        <v>76.989999999999995</v>
      </c>
      <c r="M9" s="187">
        <v>79.569999999999993</v>
      </c>
      <c r="N9" s="187">
        <v>81.48</v>
      </c>
      <c r="O9" s="187">
        <v>82.71</v>
      </c>
      <c r="P9" s="187">
        <v>83.03</v>
      </c>
      <c r="Q9" s="188"/>
    </row>
    <row r="10" spans="2:17" ht="17.25" x14ac:dyDescent="0.2">
      <c r="B10" s="102">
        <f t="shared" si="0"/>
        <v>4</v>
      </c>
      <c r="C10" s="103" t="s">
        <v>43</v>
      </c>
      <c r="D10" s="102" t="s">
        <v>42</v>
      </c>
      <c r="E10" s="187">
        <v>85</v>
      </c>
      <c r="F10" s="187">
        <v>85</v>
      </c>
      <c r="G10" s="187">
        <v>85</v>
      </c>
      <c r="H10" s="187">
        <v>85</v>
      </c>
      <c r="I10" s="187">
        <v>85</v>
      </c>
      <c r="J10" s="187">
        <v>85</v>
      </c>
      <c r="K10" s="187">
        <v>85</v>
      </c>
      <c r="L10" s="187">
        <v>85</v>
      </c>
      <c r="M10" s="187">
        <v>85</v>
      </c>
      <c r="N10" s="187">
        <v>85</v>
      </c>
      <c r="O10" s="187">
        <v>85</v>
      </c>
      <c r="P10" s="187">
        <v>85</v>
      </c>
      <c r="Q10" s="188">
        <v>85</v>
      </c>
    </row>
    <row r="11" spans="2:17" ht="17.25" x14ac:dyDescent="0.2">
      <c r="B11" s="102">
        <f t="shared" si="0"/>
        <v>5</v>
      </c>
      <c r="C11" s="103" t="s">
        <v>196</v>
      </c>
      <c r="D11" s="102" t="s">
        <v>42</v>
      </c>
      <c r="E11" s="187">
        <v>80.553029919444441</v>
      </c>
      <c r="F11" s="187">
        <v>75.501465916129618</v>
      </c>
      <c r="G11" s="187">
        <v>69.384848154444128</v>
      </c>
      <c r="H11" s="187">
        <v>23.849266748602211</v>
      </c>
      <c r="I11" s="187">
        <v>40.630791595376401</v>
      </c>
      <c r="J11" s="187">
        <v>68.629696642889073</v>
      </c>
      <c r="K11" s="187">
        <v>63.71436919806397</v>
      </c>
      <c r="L11" s="187">
        <v>66.141514836555061</v>
      </c>
      <c r="M11" s="187">
        <v>73.185923405162114</v>
      </c>
      <c r="N11" s="187">
        <v>80.670380847526047</v>
      </c>
      <c r="O11" s="187">
        <v>92.238635924406097</v>
      </c>
      <c r="P11" s="187">
        <v>79.590615456772937</v>
      </c>
      <c r="Q11" s="188"/>
    </row>
    <row r="12" spans="2:17" ht="17.25" x14ac:dyDescent="0.2">
      <c r="B12" s="102">
        <f t="shared" si="0"/>
        <v>6</v>
      </c>
      <c r="C12" s="103" t="s">
        <v>197</v>
      </c>
      <c r="D12" s="102" t="s">
        <v>42</v>
      </c>
      <c r="E12" s="187">
        <v>80.553029919444441</v>
      </c>
      <c r="F12" s="187">
        <v>77.985841655464768</v>
      </c>
      <c r="G12" s="187">
        <v>75.150349292490944</v>
      </c>
      <c r="H12" s="187">
        <v>62.114828318224134</v>
      </c>
      <c r="I12" s="187">
        <v>57.761853557385699</v>
      </c>
      <c r="J12" s="187">
        <v>59.543467177960025</v>
      </c>
      <c r="K12" s="187">
        <v>60.147663264984423</v>
      </c>
      <c r="L12" s="187">
        <v>60.884612217991688</v>
      </c>
      <c r="M12" s="187">
        <v>62.271305479090913</v>
      </c>
      <c r="N12" s="187">
        <v>64.135264094847415</v>
      </c>
      <c r="O12" s="187">
        <v>66.49123538594813</v>
      </c>
      <c r="P12" s="187">
        <v>67.603785474155174</v>
      </c>
      <c r="Q12" s="188"/>
    </row>
    <row r="13" spans="2:17" ht="17.25" x14ac:dyDescent="0.2">
      <c r="B13" s="102">
        <f t="shared" si="0"/>
        <v>7</v>
      </c>
      <c r="C13" s="92" t="s">
        <v>198</v>
      </c>
      <c r="D13" s="105" t="s">
        <v>45</v>
      </c>
      <c r="E13" s="187">
        <v>289.99</v>
      </c>
      <c r="F13" s="187">
        <v>280.87</v>
      </c>
      <c r="G13" s="187">
        <v>249.79</v>
      </c>
      <c r="H13" s="187">
        <v>88.72</v>
      </c>
      <c r="I13" s="187">
        <v>151.15</v>
      </c>
      <c r="J13" s="187">
        <v>247.07</v>
      </c>
      <c r="K13" s="187">
        <v>237.02</v>
      </c>
      <c r="L13" s="187">
        <v>238.11</v>
      </c>
      <c r="M13" s="187">
        <v>272.25</v>
      </c>
      <c r="N13" s="187">
        <v>300.08999999999997</v>
      </c>
      <c r="O13" s="187">
        <v>309.92</v>
      </c>
      <c r="P13" s="187">
        <v>296.08</v>
      </c>
      <c r="Q13" s="188">
        <f>SUM(E13:P13)</f>
        <v>2961.06</v>
      </c>
    </row>
    <row r="14" spans="2:17" ht="17.25" x14ac:dyDescent="0.2">
      <c r="B14" s="102">
        <f t="shared" si="0"/>
        <v>8</v>
      </c>
      <c r="C14" s="92" t="s">
        <v>199</v>
      </c>
      <c r="D14" s="105" t="s">
        <v>45</v>
      </c>
      <c r="E14" s="187">
        <v>18.100000000000001</v>
      </c>
      <c r="F14" s="187">
        <v>18.55</v>
      </c>
      <c r="G14" s="187">
        <v>17.09</v>
      </c>
      <c r="H14" s="187">
        <v>8.86</v>
      </c>
      <c r="I14" s="187">
        <v>12.75</v>
      </c>
      <c r="J14" s="187">
        <v>16.14</v>
      </c>
      <c r="K14" s="187">
        <v>16.25</v>
      </c>
      <c r="L14" s="187">
        <v>15.43</v>
      </c>
      <c r="M14" s="187">
        <v>15.58</v>
      </c>
      <c r="N14" s="187">
        <v>16.809999999999999</v>
      </c>
      <c r="O14" s="187">
        <v>16.62</v>
      </c>
      <c r="P14" s="187">
        <v>18.04</v>
      </c>
      <c r="Q14" s="188">
        <f t="shared" ref="Q14:Q24" si="1">SUM(E14:P14)</f>
        <v>190.22000000000003</v>
      </c>
    </row>
    <row r="15" spans="2:17" ht="17.25" x14ac:dyDescent="0.2">
      <c r="B15" s="102">
        <f t="shared" si="0"/>
        <v>9</v>
      </c>
      <c r="C15" s="92" t="s">
        <v>216</v>
      </c>
      <c r="D15" s="105" t="s">
        <v>45</v>
      </c>
      <c r="E15" s="187">
        <v>271.89</v>
      </c>
      <c r="F15" s="187">
        <v>262.32</v>
      </c>
      <c r="G15" s="187">
        <v>232.7</v>
      </c>
      <c r="H15" s="187">
        <v>79.86</v>
      </c>
      <c r="I15" s="187">
        <v>138.4</v>
      </c>
      <c r="J15" s="187">
        <v>230.93</v>
      </c>
      <c r="K15" s="187">
        <v>220.77</v>
      </c>
      <c r="L15" s="187">
        <v>222.68</v>
      </c>
      <c r="M15" s="187">
        <v>256.67</v>
      </c>
      <c r="N15" s="187">
        <v>283.27999999999997</v>
      </c>
      <c r="O15" s="187">
        <v>293.3</v>
      </c>
      <c r="P15" s="187">
        <v>278.03999999999996</v>
      </c>
      <c r="Q15" s="188">
        <f t="shared" si="1"/>
        <v>2770.84</v>
      </c>
    </row>
    <row r="16" spans="2:17" ht="17.25" x14ac:dyDescent="0.2">
      <c r="B16" s="102">
        <f t="shared" si="0"/>
        <v>10</v>
      </c>
      <c r="C16" s="92" t="s">
        <v>217</v>
      </c>
      <c r="D16" s="105" t="s">
        <v>45</v>
      </c>
      <c r="E16" s="187">
        <v>0</v>
      </c>
      <c r="F16" s="187">
        <v>0</v>
      </c>
      <c r="G16" s="187">
        <v>0</v>
      </c>
      <c r="H16" s="187">
        <v>0</v>
      </c>
      <c r="I16" s="187">
        <v>0</v>
      </c>
      <c r="J16" s="187">
        <v>0</v>
      </c>
      <c r="K16" s="187">
        <v>0</v>
      </c>
      <c r="L16" s="187">
        <v>0</v>
      </c>
      <c r="M16" s="187">
        <v>0</v>
      </c>
      <c r="N16" s="187">
        <v>0</v>
      </c>
      <c r="O16" s="187">
        <v>0</v>
      </c>
      <c r="P16" s="187">
        <v>0</v>
      </c>
      <c r="Q16" s="188"/>
    </row>
    <row r="17" spans="2:17" ht="17.25" x14ac:dyDescent="0.2">
      <c r="B17" s="102">
        <f t="shared" si="0"/>
        <v>11</v>
      </c>
      <c r="C17" s="92" t="s">
        <v>200</v>
      </c>
      <c r="D17" s="105" t="s">
        <v>204</v>
      </c>
      <c r="E17" s="186">
        <v>3.37</v>
      </c>
      <c r="F17" s="186">
        <v>3.37</v>
      </c>
      <c r="G17" s="186">
        <v>3.37</v>
      </c>
      <c r="H17" s="186">
        <v>3.37</v>
      </c>
      <c r="I17" s="186">
        <v>3.37</v>
      </c>
      <c r="J17" s="186">
        <v>3.37</v>
      </c>
      <c r="K17" s="186">
        <v>3.37</v>
      </c>
      <c r="L17" s="186">
        <v>3.37</v>
      </c>
      <c r="M17" s="186">
        <v>3.37</v>
      </c>
      <c r="N17" s="186">
        <v>3.37</v>
      </c>
      <c r="O17" s="186">
        <v>3.37</v>
      </c>
      <c r="P17" s="186">
        <v>3.37</v>
      </c>
      <c r="Q17" s="188"/>
    </row>
    <row r="18" spans="2:17" ht="17.25" x14ac:dyDescent="0.2">
      <c r="B18" s="102">
        <f t="shared" si="0"/>
        <v>12</v>
      </c>
      <c r="C18" s="92" t="s">
        <v>218</v>
      </c>
      <c r="D18" s="105" t="s">
        <v>205</v>
      </c>
      <c r="E18" s="187">
        <v>32.410000000000004</v>
      </c>
      <c r="F18" s="187">
        <v>32.410000000000004</v>
      </c>
      <c r="G18" s="187">
        <v>32.410000000000004</v>
      </c>
      <c r="H18" s="187">
        <v>32.410000000000004</v>
      </c>
      <c r="I18" s="187">
        <v>32.410000000000004</v>
      </c>
      <c r="J18" s="187">
        <v>32.410000000000004</v>
      </c>
      <c r="K18" s="187">
        <v>32.410000000000004</v>
      </c>
      <c r="L18" s="187">
        <v>32.410000000000004</v>
      </c>
      <c r="M18" s="187">
        <v>32.410000000000004</v>
      </c>
      <c r="N18" s="187">
        <v>32.410000000000004</v>
      </c>
      <c r="O18" s="187">
        <v>32.410000000000004</v>
      </c>
      <c r="P18" s="187">
        <v>32.410000000000004</v>
      </c>
      <c r="Q18" s="188">
        <f t="shared" si="1"/>
        <v>388.92000000000013</v>
      </c>
    </row>
    <row r="19" spans="2:17" ht="17.25" x14ac:dyDescent="0.2">
      <c r="B19" s="102">
        <f t="shared" si="0"/>
        <v>13</v>
      </c>
      <c r="C19" s="92" t="s">
        <v>367</v>
      </c>
      <c r="D19" s="105" t="s">
        <v>204</v>
      </c>
      <c r="E19" s="186">
        <v>3.6139999999999999</v>
      </c>
      <c r="F19" s="186">
        <v>3.81</v>
      </c>
      <c r="G19" s="186">
        <v>3.8879999999999999</v>
      </c>
      <c r="H19" s="186">
        <v>3.9540000000000002</v>
      </c>
      <c r="I19" s="186">
        <v>3.9340000000000002</v>
      </c>
      <c r="J19" s="186">
        <v>3.859</v>
      </c>
      <c r="K19" s="186">
        <v>3.8340000000000001</v>
      </c>
      <c r="L19" s="186">
        <v>3.8519999999999999</v>
      </c>
      <c r="M19" s="186">
        <v>3.8479999999999999</v>
      </c>
      <c r="N19" s="186">
        <v>3.8740000000000001</v>
      </c>
      <c r="O19" s="186">
        <v>3.879</v>
      </c>
      <c r="P19" s="186">
        <v>3.8620000000000001</v>
      </c>
      <c r="Q19" s="188"/>
    </row>
    <row r="20" spans="2:17" ht="17.25" x14ac:dyDescent="0.2">
      <c r="B20" s="102">
        <f t="shared" si="0"/>
        <v>14</v>
      </c>
      <c r="C20" s="92" t="s">
        <v>201</v>
      </c>
      <c r="D20" s="105" t="s">
        <v>205</v>
      </c>
      <c r="E20" s="187">
        <v>32.410000000000004</v>
      </c>
      <c r="F20" s="187">
        <v>32.410000000000004</v>
      </c>
      <c r="G20" s="187">
        <v>32.410000000000018</v>
      </c>
      <c r="H20" s="187">
        <v>15.770324705882333</v>
      </c>
      <c r="I20" s="187">
        <v>21.310528235294136</v>
      </c>
      <c r="J20" s="187">
        <v>35.075245882352981</v>
      </c>
      <c r="K20" s="187">
        <v>28.711447058823527</v>
      </c>
      <c r="L20" s="187">
        <v>36.749127058999996</v>
      </c>
      <c r="M20" s="187">
        <v>38.209483529000003</v>
      </c>
      <c r="N20" s="187">
        <v>37.622290587999998</v>
      </c>
      <c r="O20" s="187">
        <v>36.226754118000002</v>
      </c>
      <c r="P20" s="187">
        <v>32.589208234999994</v>
      </c>
      <c r="Q20" s="188">
        <f t="shared" si="1"/>
        <v>379.49440941135299</v>
      </c>
    </row>
    <row r="21" spans="2:17" ht="17.25" x14ac:dyDescent="0.2">
      <c r="B21" s="102">
        <f t="shared" si="0"/>
        <v>15</v>
      </c>
      <c r="C21" s="92" t="s">
        <v>368</v>
      </c>
      <c r="D21" s="105" t="s">
        <v>205</v>
      </c>
      <c r="E21" s="187">
        <v>82.517799003719588</v>
      </c>
      <c r="F21" s="187">
        <v>79.613167428976766</v>
      </c>
      <c r="G21" s="187">
        <v>70.622854560223942</v>
      </c>
      <c r="H21" s="187">
        <v>24.236213920371018</v>
      </c>
      <c r="I21" s="187">
        <v>42.003451566000003</v>
      </c>
      <c r="J21" s="187">
        <v>70.084953232813021</v>
      </c>
      <c r="K21" s="187">
        <v>67.00314318604714</v>
      </c>
      <c r="L21" s="187">
        <v>75.043796492999988</v>
      </c>
      <c r="M21" s="187">
        <v>86.499177930240535</v>
      </c>
      <c r="N21" s="187">
        <v>95.46577053132286</v>
      </c>
      <c r="O21" s="187">
        <v>98.842619191415949</v>
      </c>
      <c r="P21" s="187">
        <v>93.697762071777504</v>
      </c>
      <c r="Q21" s="188">
        <f t="shared" si="1"/>
        <v>885.6307091159083</v>
      </c>
    </row>
    <row r="22" spans="2:17" ht="17.25" x14ac:dyDescent="0.2">
      <c r="B22" s="102">
        <f t="shared" si="0"/>
        <v>16</v>
      </c>
      <c r="C22" s="92" t="s">
        <v>219</v>
      </c>
      <c r="D22" s="105" t="s">
        <v>205</v>
      </c>
      <c r="E22" s="187">
        <v>15.751906043958687</v>
      </c>
      <c r="F22" s="187">
        <v>20.33524579302324</v>
      </c>
      <c r="G22" s="187">
        <v>19.854439217044341</v>
      </c>
      <c r="H22" s="187">
        <v>7.3426832697018956</v>
      </c>
      <c r="I22" s="187">
        <v>12.436704072239763</v>
      </c>
      <c r="J22" s="187">
        <v>19.035500081123818</v>
      </c>
      <c r="K22" s="187">
        <v>17.639279057561932</v>
      </c>
      <c r="L22" s="187">
        <v>10.725268752621782</v>
      </c>
      <c r="M22" s="187">
        <v>12.265217014636981</v>
      </c>
      <c r="N22" s="187">
        <v>14.280275400403308</v>
      </c>
      <c r="O22" s="187">
        <v>14.940973873261381</v>
      </c>
      <c r="P22" s="187">
        <v>13.67151354150244</v>
      </c>
      <c r="Q22" s="188">
        <f t="shared" si="1"/>
        <v>178.27900611707958</v>
      </c>
    </row>
    <row r="23" spans="2:17" ht="17.25" x14ac:dyDescent="0.2">
      <c r="B23" s="102">
        <f t="shared" si="0"/>
        <v>17</v>
      </c>
      <c r="C23" s="92" t="s">
        <v>202</v>
      </c>
      <c r="D23" s="105" t="s">
        <v>205</v>
      </c>
      <c r="E23" s="187"/>
      <c r="F23" s="187"/>
      <c r="G23" s="187"/>
      <c r="H23" s="187"/>
      <c r="I23" s="187"/>
      <c r="J23" s="187"/>
      <c r="K23" s="187"/>
      <c r="L23" s="187"/>
      <c r="M23" s="187"/>
      <c r="N23" s="187"/>
      <c r="O23" s="187"/>
      <c r="P23" s="187"/>
      <c r="Q23" s="188"/>
    </row>
    <row r="24" spans="2:17" ht="17.25" x14ac:dyDescent="0.2">
      <c r="B24" s="102">
        <f t="shared" si="0"/>
        <v>18</v>
      </c>
      <c r="C24" s="107" t="s">
        <v>155</v>
      </c>
      <c r="D24" s="105" t="s">
        <v>205</v>
      </c>
      <c r="E24" s="188">
        <v>130.67970504767828</v>
      </c>
      <c r="F24" s="188">
        <v>132.358413222</v>
      </c>
      <c r="G24" s="188">
        <v>122.88729377726831</v>
      </c>
      <c r="H24" s="188">
        <v>47.349221895955246</v>
      </c>
      <c r="I24" s="188">
        <v>75.750683873533902</v>
      </c>
      <c r="J24" s="188">
        <v>124.19569919628981</v>
      </c>
      <c r="K24" s="188">
        <v>113.3538693024326</v>
      </c>
      <c r="L24" s="188">
        <v>122.51819230462178</v>
      </c>
      <c r="M24" s="188">
        <v>136.97387847387753</v>
      </c>
      <c r="N24" s="188">
        <v>147.36833651972614</v>
      </c>
      <c r="O24" s="188">
        <v>150.01034718267732</v>
      </c>
      <c r="P24" s="188">
        <v>139.95848384827994</v>
      </c>
      <c r="Q24" s="188">
        <f t="shared" si="1"/>
        <v>1443.4041246443408</v>
      </c>
    </row>
    <row r="25" spans="2:17" ht="17.25" x14ac:dyDescent="0.2">
      <c r="B25" s="102">
        <f t="shared" si="0"/>
        <v>19</v>
      </c>
      <c r="C25" s="109" t="s">
        <v>203</v>
      </c>
      <c r="D25" s="105"/>
      <c r="E25" s="187"/>
      <c r="F25" s="187"/>
      <c r="G25" s="187"/>
      <c r="H25" s="187"/>
      <c r="I25" s="187"/>
      <c r="J25" s="187"/>
      <c r="K25" s="187"/>
      <c r="L25" s="187"/>
      <c r="M25" s="187"/>
      <c r="N25" s="187"/>
      <c r="O25" s="187"/>
      <c r="P25" s="187"/>
      <c r="Q25" s="188"/>
    </row>
    <row r="26" spans="2:17" ht="33" x14ac:dyDescent="0.2">
      <c r="B26" s="158" t="s">
        <v>457</v>
      </c>
      <c r="C26" s="159" t="s">
        <v>458</v>
      </c>
      <c r="D26" s="160" t="s">
        <v>205</v>
      </c>
      <c r="E26" s="187"/>
      <c r="F26" s="187"/>
      <c r="G26" s="187"/>
      <c r="H26" s="187"/>
      <c r="I26" s="187"/>
      <c r="J26" s="187"/>
      <c r="K26" s="187"/>
      <c r="L26" s="187"/>
      <c r="M26" s="187"/>
      <c r="N26" s="187"/>
      <c r="O26" s="187"/>
      <c r="P26" s="187"/>
      <c r="Q26" s="188">
        <v>-55.28</v>
      </c>
    </row>
    <row r="27" spans="2:17" ht="33" x14ac:dyDescent="0.2">
      <c r="B27" s="158" t="s">
        <v>457</v>
      </c>
      <c r="C27" s="159" t="s">
        <v>459</v>
      </c>
      <c r="D27" s="160" t="s">
        <v>205</v>
      </c>
      <c r="E27" s="187"/>
      <c r="F27" s="187"/>
      <c r="G27" s="187"/>
      <c r="H27" s="187"/>
      <c r="I27" s="187"/>
      <c r="J27" s="187"/>
      <c r="K27" s="187"/>
      <c r="L27" s="187"/>
      <c r="M27" s="187"/>
      <c r="N27" s="187"/>
      <c r="O27" s="187"/>
      <c r="P27" s="187"/>
      <c r="Q27" s="188">
        <v>-10.83</v>
      </c>
    </row>
    <row r="28" spans="2:17" ht="17.25" x14ac:dyDescent="0.2">
      <c r="B28" s="158" t="s">
        <v>457</v>
      </c>
      <c r="C28" s="159" t="s">
        <v>105</v>
      </c>
      <c r="D28" s="160" t="s">
        <v>205</v>
      </c>
      <c r="E28" s="187"/>
      <c r="F28" s="187"/>
      <c r="G28" s="187"/>
      <c r="H28" s="187"/>
      <c r="I28" s="187"/>
      <c r="J28" s="187"/>
      <c r="K28" s="187"/>
      <c r="L28" s="187"/>
      <c r="M28" s="187"/>
      <c r="N28" s="187"/>
      <c r="O28" s="187"/>
      <c r="P28" s="187"/>
      <c r="Q28" s="188">
        <v>1.63</v>
      </c>
    </row>
    <row r="29" spans="2:17" ht="49.5" x14ac:dyDescent="0.2">
      <c r="B29" s="158" t="s">
        <v>457</v>
      </c>
      <c r="C29" s="159" t="s">
        <v>460</v>
      </c>
      <c r="D29" s="160" t="s">
        <v>205</v>
      </c>
      <c r="E29" s="187"/>
      <c r="F29" s="187"/>
      <c r="G29" s="187"/>
      <c r="H29" s="187"/>
      <c r="I29" s="187"/>
      <c r="J29" s="187"/>
      <c r="K29" s="187"/>
      <c r="L29" s="187"/>
      <c r="M29" s="187"/>
      <c r="N29" s="187"/>
      <c r="O29" s="187"/>
      <c r="P29" s="187"/>
      <c r="Q29" s="188"/>
    </row>
    <row r="30" spans="2:17" ht="17.25" x14ac:dyDescent="0.2">
      <c r="B30" s="105">
        <f>B25+1</f>
        <v>20</v>
      </c>
      <c r="C30" s="91" t="s">
        <v>170</v>
      </c>
      <c r="D30" s="105" t="s">
        <v>205</v>
      </c>
      <c r="E30" s="188">
        <v>130.67970504767828</v>
      </c>
      <c r="F30" s="188">
        <v>132.358413222</v>
      </c>
      <c r="G30" s="188">
        <v>122.88729377726831</v>
      </c>
      <c r="H30" s="188">
        <v>47.349221895955246</v>
      </c>
      <c r="I30" s="188">
        <v>75.750683873533902</v>
      </c>
      <c r="J30" s="188">
        <v>124.19569919628981</v>
      </c>
      <c r="K30" s="188">
        <v>113.3538693024326</v>
      </c>
      <c r="L30" s="188">
        <v>122.51819230462178</v>
      </c>
      <c r="M30" s="188">
        <v>136.97387847387753</v>
      </c>
      <c r="N30" s="188">
        <v>147.36833651972614</v>
      </c>
      <c r="O30" s="188">
        <v>150.01034718267732</v>
      </c>
      <c r="P30" s="188">
        <v>139.95848384827994</v>
      </c>
      <c r="Q30" s="188">
        <f>Q24+Q26+Q27+Q28</f>
        <v>1378.924124644341</v>
      </c>
    </row>
    <row r="31" spans="2:17" ht="17.25" x14ac:dyDescent="0.2">
      <c r="B31" s="105">
        <f>B30+1</f>
        <v>21</v>
      </c>
      <c r="C31" s="91" t="s">
        <v>206</v>
      </c>
      <c r="D31" s="105" t="s">
        <v>205</v>
      </c>
      <c r="E31" s="187"/>
      <c r="F31" s="187"/>
      <c r="G31" s="187"/>
      <c r="H31" s="187"/>
      <c r="I31" s="187"/>
      <c r="J31" s="187"/>
      <c r="K31" s="187"/>
      <c r="L31" s="187"/>
      <c r="M31" s="187"/>
      <c r="N31" s="187"/>
      <c r="O31" s="187"/>
      <c r="P31" s="187"/>
      <c r="Q31" s="188"/>
    </row>
  </sheetData>
  <pageMargins left="0.2" right="0.2" top="0.25" bottom="0.25" header="0.3" footer="0.3"/>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view="pageBreakPreview" zoomScale="95" zoomScaleNormal="95" zoomScaleSheetLayoutView="95" workbookViewId="0">
      <selection activeCell="K14" sqref="K14"/>
    </sheetView>
  </sheetViews>
  <sheetFormatPr defaultColWidth="9.28515625" defaultRowHeight="14.25" x14ac:dyDescent="0.2"/>
  <cols>
    <col min="1" max="1" width="3.28515625" style="5" customWidth="1"/>
    <col min="2" max="2" width="5.7109375" style="5" customWidth="1"/>
    <col min="3" max="3" width="20.7109375" style="5" customWidth="1"/>
    <col min="4" max="4" width="11.85546875" style="5" customWidth="1"/>
    <col min="5" max="5" width="11.5703125" style="5" customWidth="1"/>
    <col min="6" max="6" width="11.7109375" style="5" customWidth="1"/>
    <col min="7" max="7" width="10.7109375" style="5" customWidth="1"/>
    <col min="8" max="8" width="9.5703125" style="5" customWidth="1"/>
    <col min="9" max="10" width="10.28515625" style="5" customWidth="1"/>
    <col min="11" max="11" width="10" style="5" customWidth="1"/>
    <col min="12" max="16384" width="9.28515625" style="5"/>
  </cols>
  <sheetData>
    <row r="1" spans="2:11" ht="15" x14ac:dyDescent="0.2">
      <c r="C1" s="36"/>
      <c r="D1" s="36"/>
      <c r="E1" s="36"/>
      <c r="F1" s="36"/>
      <c r="G1" s="36"/>
      <c r="I1" s="33"/>
      <c r="J1" s="33"/>
      <c r="K1" s="36"/>
    </row>
    <row r="2" spans="2:11" ht="15" x14ac:dyDescent="0.2">
      <c r="B2" s="283" t="s">
        <v>403</v>
      </c>
      <c r="C2" s="283"/>
      <c r="D2" s="283"/>
      <c r="E2" s="283"/>
      <c r="F2" s="283"/>
      <c r="G2" s="283"/>
      <c r="H2" s="283"/>
      <c r="I2" s="283"/>
      <c r="J2" s="283"/>
      <c r="K2" s="283"/>
    </row>
    <row r="3" spans="2:11" ht="15" x14ac:dyDescent="0.2">
      <c r="B3" s="283" t="s">
        <v>468</v>
      </c>
      <c r="C3" s="283"/>
      <c r="D3" s="283"/>
      <c r="E3" s="283"/>
      <c r="F3" s="283"/>
      <c r="G3" s="283"/>
      <c r="H3" s="283"/>
      <c r="I3" s="283"/>
      <c r="J3" s="283"/>
      <c r="K3" s="283"/>
    </row>
    <row r="4" spans="2:11" ht="15" x14ac:dyDescent="0.2">
      <c r="B4" s="283" t="s">
        <v>377</v>
      </c>
      <c r="C4" s="283"/>
      <c r="D4" s="283"/>
      <c r="E4" s="283"/>
      <c r="F4" s="283"/>
      <c r="G4" s="283"/>
      <c r="H4" s="283"/>
      <c r="I4" s="283"/>
      <c r="J4" s="283"/>
      <c r="K4" s="283"/>
    </row>
    <row r="5" spans="2:11" ht="15" x14ac:dyDescent="0.2">
      <c r="B5" s="35"/>
      <c r="C5" s="35"/>
      <c r="D5" s="35"/>
      <c r="E5" s="35"/>
      <c r="F5" s="35"/>
      <c r="G5" s="35"/>
      <c r="H5" s="35"/>
      <c r="I5" s="35"/>
      <c r="J5" s="35"/>
      <c r="K5" s="35"/>
    </row>
    <row r="6" spans="2:11" ht="15" x14ac:dyDescent="0.2">
      <c r="B6" s="284" t="s">
        <v>68</v>
      </c>
      <c r="C6" s="284"/>
      <c r="D6" s="284"/>
      <c r="E6" s="284"/>
      <c r="F6" s="284"/>
      <c r="G6" s="284"/>
      <c r="H6" s="284"/>
      <c r="I6" s="284"/>
      <c r="J6" s="284"/>
      <c r="K6" s="284"/>
    </row>
    <row r="7" spans="2:11" ht="15" x14ac:dyDescent="0.2">
      <c r="K7" s="26" t="s">
        <v>4</v>
      </c>
    </row>
    <row r="8" spans="2:11" ht="15" customHeight="1" x14ac:dyDescent="0.2">
      <c r="B8" s="285" t="s">
        <v>193</v>
      </c>
      <c r="C8" s="285" t="s">
        <v>18</v>
      </c>
      <c r="D8" s="286" t="s">
        <v>1</v>
      </c>
      <c r="E8" s="280" t="s">
        <v>405</v>
      </c>
      <c r="F8" s="281"/>
      <c r="G8" s="282"/>
      <c r="H8" s="280" t="s">
        <v>406</v>
      </c>
      <c r="I8" s="282"/>
      <c r="J8" s="280" t="s">
        <v>467</v>
      </c>
      <c r="K8" s="282"/>
    </row>
    <row r="9" spans="2:11" ht="75" x14ac:dyDescent="0.2">
      <c r="B9" s="285"/>
      <c r="C9" s="285"/>
      <c r="D9" s="287"/>
      <c r="E9" s="15" t="s">
        <v>370</v>
      </c>
      <c r="F9" s="15" t="s">
        <v>240</v>
      </c>
      <c r="G9" s="15" t="s">
        <v>465</v>
      </c>
      <c r="H9" s="15" t="s">
        <v>370</v>
      </c>
      <c r="I9" s="15" t="s">
        <v>239</v>
      </c>
      <c r="J9" s="15" t="s">
        <v>370</v>
      </c>
      <c r="K9" s="15" t="s">
        <v>239</v>
      </c>
    </row>
    <row r="10" spans="2:11" ht="45" x14ac:dyDescent="0.2">
      <c r="B10" s="285"/>
      <c r="C10" s="285"/>
      <c r="D10" s="288"/>
      <c r="E10" s="15" t="s">
        <v>10</v>
      </c>
      <c r="F10" s="15" t="s">
        <v>12</v>
      </c>
      <c r="G10" s="15" t="s">
        <v>231</v>
      </c>
      <c r="H10" s="15" t="s">
        <v>10</v>
      </c>
      <c r="I10" s="15" t="s">
        <v>463</v>
      </c>
      <c r="J10" s="15" t="s">
        <v>10</v>
      </c>
      <c r="K10" s="15" t="s">
        <v>463</v>
      </c>
    </row>
    <row r="11" spans="2:11" x14ac:dyDescent="0.2">
      <c r="B11" s="20">
        <v>1</v>
      </c>
      <c r="C11" s="29" t="s">
        <v>69</v>
      </c>
      <c r="D11" s="29" t="s">
        <v>24</v>
      </c>
      <c r="E11" s="127"/>
      <c r="F11" s="146">
        <f>F2.1!D36</f>
        <v>189.16</v>
      </c>
      <c r="G11" s="146">
        <f>F11</f>
        <v>189.16</v>
      </c>
      <c r="H11" s="127"/>
      <c r="I11" s="146">
        <f>F2.1!E36</f>
        <v>198.56</v>
      </c>
      <c r="J11" s="127"/>
      <c r="K11" s="146">
        <f>F2.1!F36</f>
        <v>206.5</v>
      </c>
    </row>
    <row r="12" spans="2:11" x14ac:dyDescent="0.2">
      <c r="B12" s="20">
        <f>B11+1</f>
        <v>2</v>
      </c>
      <c r="C12" s="37" t="s">
        <v>241</v>
      </c>
      <c r="D12" s="37" t="s">
        <v>25</v>
      </c>
      <c r="E12" s="132"/>
      <c r="F12" s="147">
        <f>F2.2!D38</f>
        <v>6.87</v>
      </c>
      <c r="G12" s="146">
        <f t="shared" ref="G12:G13" si="0">F12</f>
        <v>6.87</v>
      </c>
      <c r="H12" s="127"/>
      <c r="I12" s="146">
        <f>F2.2!E38</f>
        <v>7.53</v>
      </c>
      <c r="J12" s="127"/>
      <c r="K12" s="146">
        <f>F2.2!F38</f>
        <v>7.98</v>
      </c>
    </row>
    <row r="13" spans="2:11" x14ac:dyDescent="0.2">
      <c r="B13" s="20">
        <f>B12+1</f>
        <v>3</v>
      </c>
      <c r="C13" s="29" t="s">
        <v>211</v>
      </c>
      <c r="D13" s="29" t="s">
        <v>267</v>
      </c>
      <c r="E13" s="127"/>
      <c r="F13" s="146">
        <f>F2.3!D18</f>
        <v>38.25</v>
      </c>
      <c r="G13" s="146">
        <f t="shared" si="0"/>
        <v>38.25</v>
      </c>
      <c r="H13" s="127"/>
      <c r="I13" s="146">
        <f>F2.3!E18</f>
        <v>40.58</v>
      </c>
      <c r="J13" s="127"/>
      <c r="K13" s="146">
        <f>F2.3!F18</f>
        <v>43.02</v>
      </c>
    </row>
    <row r="14" spans="2:11" ht="15" x14ac:dyDescent="0.2">
      <c r="B14" s="20">
        <f>B13+1</f>
        <v>4</v>
      </c>
      <c r="C14" s="29" t="s">
        <v>70</v>
      </c>
      <c r="D14" s="29"/>
      <c r="E14" s="148">
        <v>180.28</v>
      </c>
      <c r="F14" s="148">
        <f t="shared" ref="F14:K14" si="1">ROUND(SUM(F11:F13),2)</f>
        <v>234.28</v>
      </c>
      <c r="G14" s="148">
        <f t="shared" si="1"/>
        <v>234.28</v>
      </c>
      <c r="H14" s="148">
        <v>190.43</v>
      </c>
      <c r="I14" s="148">
        <f t="shared" si="1"/>
        <v>246.67</v>
      </c>
      <c r="J14" s="148">
        <v>201.15</v>
      </c>
      <c r="K14" s="148">
        <f t="shared" si="1"/>
        <v>257.5</v>
      </c>
    </row>
    <row r="15" spans="2:11" x14ac:dyDescent="0.2">
      <c r="B15" s="50" t="s">
        <v>242</v>
      </c>
      <c r="C15" s="51"/>
      <c r="D15" s="48"/>
      <c r="E15" s="163"/>
      <c r="F15" s="48"/>
      <c r="G15" s="49"/>
      <c r="H15" s="49"/>
      <c r="I15" s="49"/>
      <c r="J15" s="49"/>
      <c r="K15" s="49"/>
    </row>
    <row r="16" spans="2:11" x14ac:dyDescent="0.2">
      <c r="B16" s="52">
        <v>1</v>
      </c>
      <c r="C16" s="51" t="s">
        <v>243</v>
      </c>
    </row>
  </sheetData>
  <mergeCells count="10">
    <mergeCell ref="B4:K4"/>
    <mergeCell ref="B3:K3"/>
    <mergeCell ref="B2:K2"/>
    <mergeCell ref="B6:K6"/>
    <mergeCell ref="B8:B10"/>
    <mergeCell ref="C8:C10"/>
    <mergeCell ref="H8:I8"/>
    <mergeCell ref="E8:G8"/>
    <mergeCell ref="D8:D10"/>
    <mergeCell ref="J8:K8"/>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38"/>
  <sheetViews>
    <sheetView showGridLines="0" view="pageBreakPreview" topLeftCell="A24" zoomScale="98" zoomScaleNormal="95" zoomScaleSheetLayoutView="98" workbookViewId="0">
      <selection activeCell="D36" sqref="D36:F36"/>
    </sheetView>
  </sheetViews>
  <sheetFormatPr defaultColWidth="9.28515625" defaultRowHeight="14.25" x14ac:dyDescent="0.2"/>
  <cols>
    <col min="1" max="1" width="4.140625" style="13" customWidth="1"/>
    <col min="2" max="2" width="7" style="13" customWidth="1"/>
    <col min="3" max="3" width="40.7109375" style="13" customWidth="1"/>
    <col min="4" max="4" width="12.7109375" style="13" customWidth="1"/>
    <col min="5" max="5" width="13.28515625" style="13" customWidth="1"/>
    <col min="6" max="6" width="11.85546875" style="13" customWidth="1"/>
    <col min="7" max="7" width="9.28515625" style="13"/>
    <col min="8" max="8" width="16.28515625" style="13" bestFit="1" customWidth="1"/>
    <col min="9" max="16384" width="9.28515625" style="13"/>
  </cols>
  <sheetData>
    <row r="2" spans="2:8" ht="14.25" customHeight="1" x14ac:dyDescent="0.2">
      <c r="B2" s="283" t="s">
        <v>403</v>
      </c>
      <c r="C2" s="283"/>
      <c r="D2" s="283"/>
      <c r="E2" s="283"/>
      <c r="F2" s="283"/>
    </row>
    <row r="3" spans="2:8" ht="14.25" customHeight="1" x14ac:dyDescent="0.2">
      <c r="B3" s="283" t="s">
        <v>468</v>
      </c>
      <c r="C3" s="283"/>
      <c r="D3" s="283"/>
      <c r="E3" s="283"/>
      <c r="F3" s="283"/>
    </row>
    <row r="4" spans="2:8" s="4" customFormat="1" ht="14.25" customHeight="1" x14ac:dyDescent="0.2">
      <c r="B4" s="283" t="s">
        <v>268</v>
      </c>
      <c r="C4" s="283"/>
      <c r="D4" s="283"/>
      <c r="E4" s="283"/>
      <c r="F4" s="283"/>
    </row>
    <row r="5" spans="2:8" s="4" customFormat="1" ht="3" customHeight="1" x14ac:dyDescent="0.25">
      <c r="C5" s="41"/>
      <c r="D5" s="42"/>
      <c r="E5" s="42"/>
    </row>
    <row r="6" spans="2:8" ht="15" x14ac:dyDescent="0.2">
      <c r="F6" s="26" t="s">
        <v>4</v>
      </c>
    </row>
    <row r="7" spans="2:8" ht="12.75" customHeight="1" x14ac:dyDescent="0.2">
      <c r="B7" s="276" t="s">
        <v>2</v>
      </c>
      <c r="C7" s="276" t="s">
        <v>18</v>
      </c>
      <c r="D7" s="15" t="s">
        <v>405</v>
      </c>
      <c r="E7" s="15" t="s">
        <v>406</v>
      </c>
      <c r="F7" s="23" t="s">
        <v>467</v>
      </c>
    </row>
    <row r="8" spans="2:8" ht="15" x14ac:dyDescent="0.2">
      <c r="B8" s="276"/>
      <c r="C8" s="276"/>
      <c r="D8" s="15" t="s">
        <v>240</v>
      </c>
      <c r="E8" s="15" t="s">
        <v>239</v>
      </c>
      <c r="F8" s="15" t="s">
        <v>239</v>
      </c>
    </row>
    <row r="9" spans="2:8" ht="15" x14ac:dyDescent="0.2">
      <c r="B9" s="289"/>
      <c r="C9" s="276"/>
      <c r="D9" s="15" t="s">
        <v>12</v>
      </c>
      <c r="E9" s="15" t="s">
        <v>5</v>
      </c>
      <c r="F9" s="15" t="s">
        <v>8</v>
      </c>
    </row>
    <row r="10" spans="2:8" ht="18" customHeight="1" x14ac:dyDescent="0.2">
      <c r="B10" s="2">
        <v>1</v>
      </c>
      <c r="C10" s="43" t="s">
        <v>73</v>
      </c>
      <c r="D10" s="246">
        <v>95.465935866541372</v>
      </c>
      <c r="E10" s="246">
        <v>100.06148085428801</v>
      </c>
      <c r="F10" s="246">
        <v>104.06394008845953</v>
      </c>
      <c r="H10" s="149"/>
    </row>
    <row r="11" spans="2:8" ht="18" customHeight="1" x14ac:dyDescent="0.2">
      <c r="B11" s="2">
        <v>2</v>
      </c>
      <c r="C11" s="43" t="s">
        <v>74</v>
      </c>
      <c r="D11" s="246">
        <v>12.078669750688809</v>
      </c>
      <c r="E11" s="246">
        <v>12.64602385033116</v>
      </c>
      <c r="F11" s="246">
        <v>13.151864804344406</v>
      </c>
      <c r="H11" s="149"/>
    </row>
    <row r="12" spans="2:8" ht="18" customHeight="1" x14ac:dyDescent="0.2">
      <c r="B12" s="2">
        <v>3</v>
      </c>
      <c r="C12" s="3" t="s">
        <v>75</v>
      </c>
      <c r="D12" s="246">
        <v>5.0330751233691586</v>
      </c>
      <c r="E12" s="246">
        <v>5.3988572772465222</v>
      </c>
      <c r="F12" s="246">
        <v>5.6148115683363828</v>
      </c>
      <c r="H12" s="149"/>
    </row>
    <row r="13" spans="2:8" ht="18" customHeight="1" x14ac:dyDescent="0.2">
      <c r="B13" s="2">
        <v>4</v>
      </c>
      <c r="C13" s="43" t="s">
        <v>76</v>
      </c>
      <c r="D13" s="246">
        <v>1.148944824498499</v>
      </c>
      <c r="E13" s="246">
        <v>1.217951527495069</v>
      </c>
      <c r="F13" s="246">
        <v>1.2666695885948718</v>
      </c>
      <c r="H13" s="149"/>
    </row>
    <row r="14" spans="2:8" ht="18" customHeight="1" x14ac:dyDescent="0.2">
      <c r="B14" s="2">
        <v>5</v>
      </c>
      <c r="C14" s="43" t="s">
        <v>77</v>
      </c>
      <c r="D14" s="246">
        <v>0</v>
      </c>
      <c r="E14" s="246">
        <v>0</v>
      </c>
      <c r="F14" s="246">
        <v>0</v>
      </c>
      <c r="H14" s="149"/>
    </row>
    <row r="15" spans="2:8" ht="18" customHeight="1" x14ac:dyDescent="0.2">
      <c r="B15" s="2">
        <v>6</v>
      </c>
      <c r="C15" s="3" t="s">
        <v>78</v>
      </c>
      <c r="D15" s="246">
        <v>12.162837670390125</v>
      </c>
      <c r="E15" s="246">
        <v>12.578678480121006</v>
      </c>
      <c r="F15" s="246">
        <v>13.081825619325846</v>
      </c>
      <c r="H15" s="149"/>
    </row>
    <row r="16" spans="2:8" ht="18" customHeight="1" x14ac:dyDescent="0.2">
      <c r="B16" s="2">
        <v>7</v>
      </c>
      <c r="C16" s="43" t="s">
        <v>79</v>
      </c>
      <c r="D16" s="246">
        <v>19.702454630251676</v>
      </c>
      <c r="E16" s="246">
        <v>20.75339119425163</v>
      </c>
      <c r="F16" s="246">
        <v>21.583526842021698</v>
      </c>
      <c r="H16" s="149"/>
    </row>
    <row r="17" spans="2:8" ht="18" customHeight="1" x14ac:dyDescent="0.2">
      <c r="B17" s="2">
        <v>8</v>
      </c>
      <c r="C17" s="43" t="s">
        <v>80</v>
      </c>
      <c r="D17" s="246">
        <v>1.1282006305609378</v>
      </c>
      <c r="E17" s="246">
        <v>1.1279396321172126</v>
      </c>
      <c r="F17" s="246">
        <v>1.1730572174019012</v>
      </c>
      <c r="H17" s="149"/>
    </row>
    <row r="18" spans="2:8" ht="18" customHeight="1" x14ac:dyDescent="0.2">
      <c r="B18" s="2">
        <v>9</v>
      </c>
      <c r="C18" s="43" t="s">
        <v>81</v>
      </c>
      <c r="D18" s="246">
        <v>0</v>
      </c>
      <c r="E18" s="246">
        <v>0</v>
      </c>
      <c r="F18" s="246">
        <v>0</v>
      </c>
      <c r="H18" s="149"/>
    </row>
    <row r="19" spans="2:8" ht="18" customHeight="1" x14ac:dyDescent="0.2">
      <c r="B19" s="2">
        <v>10</v>
      </c>
      <c r="C19" s="43" t="s">
        <v>82</v>
      </c>
      <c r="D19" s="246">
        <v>0</v>
      </c>
      <c r="E19" s="246">
        <v>0</v>
      </c>
      <c r="F19" s="246">
        <v>0</v>
      </c>
      <c r="H19" s="149"/>
    </row>
    <row r="20" spans="2:8" ht="18" customHeight="1" x14ac:dyDescent="0.2">
      <c r="B20" s="2">
        <v>11</v>
      </c>
      <c r="C20" s="43" t="s">
        <v>83</v>
      </c>
      <c r="D20" s="246">
        <v>1.943089179680442E-3</v>
      </c>
      <c r="E20" s="246">
        <v>2.0839439198694076E-3</v>
      </c>
      <c r="F20" s="246">
        <v>2.1673016766641838E-3</v>
      </c>
      <c r="H20" s="149"/>
    </row>
    <row r="21" spans="2:8" ht="18" customHeight="1" x14ac:dyDescent="0.2">
      <c r="B21" s="2">
        <v>12</v>
      </c>
      <c r="C21" s="43" t="s">
        <v>84</v>
      </c>
      <c r="D21" s="246">
        <v>2.1633657008538627</v>
      </c>
      <c r="E21" s="246">
        <v>2.2869520378245314</v>
      </c>
      <c r="F21" s="246">
        <v>2.3784301193375126</v>
      </c>
      <c r="H21" s="149"/>
    </row>
    <row r="22" spans="2:8" ht="18" customHeight="1" x14ac:dyDescent="0.2">
      <c r="B22" s="2">
        <v>13</v>
      </c>
      <c r="C22" s="43" t="s">
        <v>85</v>
      </c>
      <c r="D22" s="246">
        <v>0</v>
      </c>
      <c r="E22" s="246">
        <v>0</v>
      </c>
      <c r="F22" s="246">
        <v>0</v>
      </c>
      <c r="H22" s="149"/>
    </row>
    <row r="23" spans="2:8" ht="18" customHeight="1" x14ac:dyDescent="0.2">
      <c r="B23" s="2">
        <v>14</v>
      </c>
      <c r="C23" s="43" t="s">
        <v>86</v>
      </c>
      <c r="D23" s="246">
        <v>0</v>
      </c>
      <c r="E23" s="246">
        <v>0</v>
      </c>
      <c r="F23" s="246">
        <v>0</v>
      </c>
      <c r="H23" s="149"/>
    </row>
    <row r="24" spans="2:8" ht="18" customHeight="1" x14ac:dyDescent="0.2">
      <c r="B24" s="2">
        <v>15</v>
      </c>
      <c r="C24" s="43" t="s">
        <v>87</v>
      </c>
      <c r="D24" s="246">
        <v>0</v>
      </c>
      <c r="E24" s="246">
        <v>0</v>
      </c>
      <c r="F24" s="246">
        <v>0</v>
      </c>
      <c r="H24" s="149"/>
    </row>
    <row r="25" spans="2:8" ht="18" customHeight="1" x14ac:dyDescent="0.2">
      <c r="B25" s="2">
        <v>16</v>
      </c>
      <c r="C25" s="43" t="s">
        <v>88</v>
      </c>
      <c r="D25" s="246">
        <v>0</v>
      </c>
      <c r="E25" s="246">
        <v>0</v>
      </c>
      <c r="F25" s="246">
        <v>0</v>
      </c>
      <c r="H25" s="149"/>
    </row>
    <row r="26" spans="2:8" ht="18" customHeight="1" x14ac:dyDescent="0.2">
      <c r="B26" s="2">
        <v>17</v>
      </c>
      <c r="C26" s="43" t="s">
        <v>89</v>
      </c>
      <c r="D26" s="139">
        <f>SUM(D10:D25)</f>
        <v>148.88542728633414</v>
      </c>
      <c r="E26" s="140">
        <f>SUM(E10:E25)</f>
        <v>156.07335879759501</v>
      </c>
      <c r="F26" s="140">
        <f>SUM(F10:F25)</f>
        <v>162.31629314949882</v>
      </c>
      <c r="H26" s="150"/>
    </row>
    <row r="27" spans="2:8" ht="18" customHeight="1" x14ac:dyDescent="0.2">
      <c r="B27" s="2">
        <v>18</v>
      </c>
      <c r="C27" s="43" t="s">
        <v>90</v>
      </c>
      <c r="D27" s="246">
        <v>0</v>
      </c>
      <c r="E27" s="246">
        <v>0</v>
      </c>
      <c r="F27" s="246">
        <v>0</v>
      </c>
    </row>
    <row r="28" spans="2:8" ht="18" customHeight="1" x14ac:dyDescent="0.2">
      <c r="B28" s="2">
        <f>+B27+0.1</f>
        <v>18.100000000000001</v>
      </c>
      <c r="C28" s="43" t="s">
        <v>91</v>
      </c>
      <c r="D28" s="246">
        <v>0</v>
      </c>
      <c r="E28" s="246">
        <v>0</v>
      </c>
      <c r="F28" s="246">
        <v>0</v>
      </c>
    </row>
    <row r="29" spans="2:8" ht="18" customHeight="1" x14ac:dyDescent="0.2">
      <c r="B29" s="2">
        <f>+B28+0.1</f>
        <v>18.200000000000003</v>
      </c>
      <c r="C29" s="43" t="s">
        <v>92</v>
      </c>
      <c r="D29" s="246">
        <v>11.309913932808294</v>
      </c>
      <c r="E29" s="246">
        <v>11.965621815667436</v>
      </c>
      <c r="F29" s="246">
        <v>12.444246688294134</v>
      </c>
    </row>
    <row r="30" spans="2:8" ht="18" customHeight="1" x14ac:dyDescent="0.2">
      <c r="B30" s="2">
        <f>+B29+0.1</f>
        <v>18.300000000000004</v>
      </c>
      <c r="C30" s="43" t="s">
        <v>93</v>
      </c>
      <c r="D30" s="246">
        <v>0</v>
      </c>
      <c r="E30" s="246">
        <v>0</v>
      </c>
      <c r="F30" s="246">
        <v>0</v>
      </c>
    </row>
    <row r="31" spans="2:8" ht="18" customHeight="1" x14ac:dyDescent="0.2">
      <c r="B31" s="2">
        <f>+B30+0.1</f>
        <v>18.400000000000006</v>
      </c>
      <c r="C31" s="43" t="s">
        <v>94</v>
      </c>
      <c r="D31" s="246">
        <v>28.968644029440895</v>
      </c>
      <c r="E31" s="246">
        <v>30.520021185953606</v>
      </c>
      <c r="F31" s="246">
        <v>31.740822033391751</v>
      </c>
    </row>
    <row r="32" spans="2:8" ht="27.75" customHeight="1" x14ac:dyDescent="0.2">
      <c r="B32" s="2">
        <v>19</v>
      </c>
      <c r="C32" s="47" t="s">
        <v>393</v>
      </c>
      <c r="D32" s="246">
        <v>0</v>
      </c>
      <c r="E32" s="246">
        <v>0</v>
      </c>
      <c r="F32" s="246">
        <v>0</v>
      </c>
    </row>
    <row r="33" spans="2:6" ht="18" customHeight="1" x14ac:dyDescent="0.2">
      <c r="B33" s="2">
        <v>20</v>
      </c>
      <c r="C33" s="43" t="s">
        <v>95</v>
      </c>
      <c r="D33" s="246">
        <v>0</v>
      </c>
      <c r="E33" s="246">
        <v>0</v>
      </c>
      <c r="F33" s="246">
        <v>0</v>
      </c>
    </row>
    <row r="34" spans="2:6" ht="18" customHeight="1" x14ac:dyDescent="0.25">
      <c r="B34" s="14">
        <v>21</v>
      </c>
      <c r="C34" s="44" t="s">
        <v>96</v>
      </c>
      <c r="D34" s="126">
        <f>SUM(D26:D33)</f>
        <v>189.16398524858332</v>
      </c>
      <c r="E34" s="126">
        <f>SUM(E26:E33)</f>
        <v>198.55900179921605</v>
      </c>
      <c r="F34" s="126">
        <f>SUM(F26:F33)</f>
        <v>206.50136187118471</v>
      </c>
    </row>
    <row r="35" spans="2:6" ht="18" customHeight="1" x14ac:dyDescent="0.25">
      <c r="B35" s="2">
        <v>22</v>
      </c>
      <c r="C35" s="43" t="s">
        <v>17</v>
      </c>
      <c r="D35" s="240"/>
      <c r="E35" s="241"/>
      <c r="F35" s="241"/>
    </row>
    <row r="36" spans="2:6" ht="18" customHeight="1" x14ac:dyDescent="0.2">
      <c r="B36" s="14">
        <v>23</v>
      </c>
      <c r="C36" s="19" t="s">
        <v>97</v>
      </c>
      <c r="D36" s="184">
        <f>ROUND(D34-D35,2)</f>
        <v>189.16</v>
      </c>
      <c r="E36" s="184">
        <f t="shared" ref="E36:F36" si="0">ROUND(E34-E35,2)</f>
        <v>198.56</v>
      </c>
      <c r="F36" s="184">
        <f t="shared" si="0"/>
        <v>206.5</v>
      </c>
    </row>
    <row r="37" spans="2:6" ht="27.75" customHeight="1" x14ac:dyDescent="0.2">
      <c r="B37" s="45"/>
      <c r="D37" s="151"/>
    </row>
    <row r="38" spans="2:6" x14ac:dyDescent="0.2">
      <c r="B38" s="46"/>
    </row>
  </sheetData>
  <mergeCells count="5">
    <mergeCell ref="B7:B9"/>
    <mergeCell ref="C7:C9"/>
    <mergeCell ref="B2:F2"/>
    <mergeCell ref="B3:F3"/>
    <mergeCell ref="B4:F4"/>
  </mergeCells>
  <pageMargins left="1" right="0.25" top="0.25" bottom="0.25" header="0.5" footer="0.5"/>
  <pageSetup paperSize="9" scale="94" orientation="landscape" r:id="rId1"/>
  <headerFooter alignWithMargins="0"/>
  <rowBreaks count="1" manualBreakCount="1">
    <brk id="36" min="1"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38"/>
  <sheetViews>
    <sheetView showGridLines="0" view="pageBreakPreview" topLeftCell="A13" zoomScale="96" zoomScaleSheetLayoutView="96" workbookViewId="0">
      <selection activeCell="D38" sqref="D38:F38"/>
    </sheetView>
  </sheetViews>
  <sheetFormatPr defaultColWidth="9.28515625" defaultRowHeight="14.25" x14ac:dyDescent="0.2"/>
  <cols>
    <col min="1" max="1" width="2" style="13" customWidth="1"/>
    <col min="2" max="2" width="7" style="13" customWidth="1"/>
    <col min="3" max="3" width="50.28515625" style="13" customWidth="1"/>
    <col min="4" max="5" width="15.7109375" style="13" customWidth="1"/>
    <col min="6" max="6" width="16.140625" style="13" customWidth="1"/>
    <col min="7" max="16384" width="9.28515625" style="13"/>
  </cols>
  <sheetData>
    <row r="1" spans="2:6" ht="14.25" customHeight="1" x14ac:dyDescent="0.2">
      <c r="B1" s="283" t="s">
        <v>403</v>
      </c>
      <c r="C1" s="283"/>
      <c r="D1" s="283"/>
      <c r="E1" s="283"/>
      <c r="F1" s="283"/>
    </row>
    <row r="2" spans="2:6" ht="14.25" customHeight="1" x14ac:dyDescent="0.2">
      <c r="B2" s="283" t="s">
        <v>468</v>
      </c>
      <c r="C2" s="283"/>
      <c r="D2" s="283"/>
      <c r="E2" s="283"/>
      <c r="F2" s="283"/>
    </row>
    <row r="3" spans="2:6" s="4" customFormat="1" ht="15" x14ac:dyDescent="0.2">
      <c r="B3" s="283" t="s">
        <v>407</v>
      </c>
      <c r="C3" s="283"/>
      <c r="D3" s="283"/>
      <c r="E3" s="283"/>
      <c r="F3" s="283"/>
    </row>
    <row r="4" spans="2:6" ht="15" x14ac:dyDescent="0.2">
      <c r="F4" s="26" t="s">
        <v>4</v>
      </c>
    </row>
    <row r="5" spans="2:6" ht="12.75" customHeight="1" x14ac:dyDescent="0.2">
      <c r="B5" s="278" t="s">
        <v>193</v>
      </c>
      <c r="C5" s="276" t="s">
        <v>18</v>
      </c>
      <c r="D5" s="15" t="s">
        <v>405</v>
      </c>
      <c r="E5" s="15" t="s">
        <v>406</v>
      </c>
      <c r="F5" s="23" t="s">
        <v>467</v>
      </c>
    </row>
    <row r="6" spans="2:6" ht="15" x14ac:dyDescent="0.2">
      <c r="B6" s="278"/>
      <c r="C6" s="276"/>
      <c r="D6" s="15" t="s">
        <v>240</v>
      </c>
      <c r="E6" s="15" t="s">
        <v>239</v>
      </c>
      <c r="F6" s="15" t="s">
        <v>239</v>
      </c>
    </row>
    <row r="7" spans="2:6" ht="15" x14ac:dyDescent="0.2">
      <c r="B7" s="278"/>
      <c r="C7" s="276"/>
      <c r="D7" s="15" t="s">
        <v>12</v>
      </c>
      <c r="E7" s="15" t="s">
        <v>5</v>
      </c>
      <c r="F7" s="15" t="s">
        <v>8</v>
      </c>
    </row>
    <row r="8" spans="2:6" x14ac:dyDescent="0.2">
      <c r="B8" s="3">
        <v>1</v>
      </c>
      <c r="C8" s="53" t="s">
        <v>98</v>
      </c>
      <c r="D8" s="246">
        <v>2.2207950413217956</v>
      </c>
      <c r="E8" s="246">
        <v>2.4219794297024237</v>
      </c>
      <c r="F8" s="246">
        <v>2.5672981954845695</v>
      </c>
    </row>
    <row r="9" spans="2:6" x14ac:dyDescent="0.2">
      <c r="B9" s="3">
        <v>2</v>
      </c>
      <c r="C9" s="54" t="s">
        <v>99</v>
      </c>
      <c r="D9" s="246">
        <v>0</v>
      </c>
      <c r="E9" s="246">
        <v>0</v>
      </c>
      <c r="F9" s="246">
        <v>0</v>
      </c>
    </row>
    <row r="10" spans="2:6" x14ac:dyDescent="0.2">
      <c r="B10" s="3">
        <v>3</v>
      </c>
      <c r="C10" s="54" t="s">
        <v>100</v>
      </c>
      <c r="D10" s="246">
        <v>8.1402475944951883E-2</v>
      </c>
      <c r="E10" s="246">
        <v>8.868507807614763E-2</v>
      </c>
      <c r="F10" s="246">
        <v>9.4006182760716497E-2</v>
      </c>
    </row>
    <row r="11" spans="2:6" x14ac:dyDescent="0.2">
      <c r="B11" s="3">
        <v>4</v>
      </c>
      <c r="C11" s="54" t="s">
        <v>101</v>
      </c>
      <c r="D11" s="246">
        <v>0.20914569973919375</v>
      </c>
      <c r="E11" s="246">
        <v>0.35437116234959648</v>
      </c>
      <c r="F11" s="246">
        <v>0.37563343209057226</v>
      </c>
    </row>
    <row r="12" spans="2:6" x14ac:dyDescent="0.2">
      <c r="B12" s="3">
        <v>5</v>
      </c>
      <c r="C12" s="54" t="s">
        <v>102</v>
      </c>
      <c r="D12" s="246">
        <v>2.7339260618132605E-2</v>
      </c>
      <c r="E12" s="246">
        <v>3.0036869303597696E-2</v>
      </c>
      <c r="F12" s="246">
        <v>3.1839081461813558E-2</v>
      </c>
    </row>
    <row r="13" spans="2:6" x14ac:dyDescent="0.2">
      <c r="B13" s="3">
        <v>6</v>
      </c>
      <c r="C13" s="54" t="s">
        <v>103</v>
      </c>
      <c r="D13" s="246">
        <v>6.247805720925078E-2</v>
      </c>
      <c r="E13" s="246">
        <v>6.8339887951776646E-2</v>
      </c>
      <c r="F13" s="246">
        <v>7.2440281228883255E-2</v>
      </c>
    </row>
    <row r="14" spans="2:6" x14ac:dyDescent="0.2">
      <c r="B14" s="3">
        <v>7</v>
      </c>
      <c r="C14" s="54" t="s">
        <v>104</v>
      </c>
      <c r="D14" s="246">
        <v>1.5120447340698893</v>
      </c>
      <c r="E14" s="246">
        <v>1.553938146591322</v>
      </c>
      <c r="F14" s="246">
        <v>1.6471744353868014</v>
      </c>
    </row>
    <row r="15" spans="2:6" x14ac:dyDescent="0.2">
      <c r="B15" s="3">
        <v>8</v>
      </c>
      <c r="C15" s="54" t="s">
        <v>105</v>
      </c>
      <c r="D15" s="246">
        <v>1.7087174330781916E-3</v>
      </c>
      <c r="E15" s="246">
        <v>1.8712473078615218E-3</v>
      </c>
      <c r="F15" s="246">
        <v>1.9835221463332131E-3</v>
      </c>
    </row>
    <row r="16" spans="2:6" x14ac:dyDescent="0.2">
      <c r="B16" s="3">
        <v>9</v>
      </c>
      <c r="C16" s="54" t="s">
        <v>106</v>
      </c>
      <c r="D16" s="246">
        <v>0.1088359226551793</v>
      </c>
      <c r="E16" s="246">
        <v>7.4729692976713905E-2</v>
      </c>
      <c r="F16" s="246">
        <v>7.9213474555316743E-2</v>
      </c>
    </row>
    <row r="17" spans="2:6" x14ac:dyDescent="0.2">
      <c r="B17" s="3">
        <v>10</v>
      </c>
      <c r="C17" s="54" t="s">
        <v>107</v>
      </c>
      <c r="D17" s="246">
        <v>0.28326097965138769</v>
      </c>
      <c r="E17" s="246">
        <v>0.31020421243084556</v>
      </c>
      <c r="F17" s="246">
        <v>0.32881646517669633</v>
      </c>
    </row>
    <row r="18" spans="2:6" x14ac:dyDescent="0.2">
      <c r="B18" s="3">
        <v>11</v>
      </c>
      <c r="C18" s="54" t="s">
        <v>108</v>
      </c>
      <c r="D18" s="246">
        <v>9.8774248665502184E-4</v>
      </c>
      <c r="E18" s="246">
        <v>1.0712332780875077E-3</v>
      </c>
      <c r="F18" s="246">
        <v>1.1355072747727582E-3</v>
      </c>
    </row>
    <row r="19" spans="2:6" x14ac:dyDescent="0.2">
      <c r="B19" s="3">
        <v>12</v>
      </c>
      <c r="C19" s="54" t="s">
        <v>109</v>
      </c>
      <c r="D19" s="246">
        <v>0</v>
      </c>
      <c r="E19" s="246">
        <v>0</v>
      </c>
      <c r="F19" s="246">
        <v>0</v>
      </c>
    </row>
    <row r="20" spans="2:6" x14ac:dyDescent="0.2">
      <c r="B20" s="3">
        <v>13</v>
      </c>
      <c r="C20" s="54" t="s">
        <v>110</v>
      </c>
      <c r="D20" s="246">
        <v>1.2235803204162394E-2</v>
      </c>
      <c r="E20" s="246">
        <v>1.332868532676389E-2</v>
      </c>
      <c r="F20" s="246">
        <v>1.4128406446369724E-2</v>
      </c>
    </row>
    <row r="21" spans="2:6" x14ac:dyDescent="0.2">
      <c r="B21" s="3">
        <v>14</v>
      </c>
      <c r="C21" s="54" t="s">
        <v>111</v>
      </c>
      <c r="D21" s="246">
        <v>6.2012108322908849E-2</v>
      </c>
      <c r="E21" s="246">
        <v>9.024692130370239E-2</v>
      </c>
      <c r="F21" s="246">
        <v>9.5661736581924534E-2</v>
      </c>
    </row>
    <row r="22" spans="2:6" x14ac:dyDescent="0.2">
      <c r="B22" s="3">
        <v>15</v>
      </c>
      <c r="C22" s="54" t="s">
        <v>112</v>
      </c>
      <c r="D22" s="246">
        <v>0</v>
      </c>
      <c r="E22" s="246">
        <v>0</v>
      </c>
      <c r="F22" s="246">
        <v>0</v>
      </c>
    </row>
    <row r="23" spans="2:6" x14ac:dyDescent="0.2">
      <c r="B23" s="3">
        <v>16</v>
      </c>
      <c r="C23" s="53" t="s">
        <v>113</v>
      </c>
      <c r="D23" s="246">
        <v>0</v>
      </c>
      <c r="E23" s="246">
        <v>0</v>
      </c>
      <c r="F23" s="246">
        <v>0</v>
      </c>
    </row>
    <row r="24" spans="2:6" x14ac:dyDescent="0.2">
      <c r="B24" s="3">
        <v>17</v>
      </c>
      <c r="C24" s="53" t="s">
        <v>114</v>
      </c>
      <c r="D24" s="246">
        <v>0</v>
      </c>
      <c r="E24" s="246">
        <v>0</v>
      </c>
      <c r="F24" s="246">
        <v>0</v>
      </c>
    </row>
    <row r="25" spans="2:6" x14ac:dyDescent="0.2">
      <c r="B25" s="3">
        <v>18</v>
      </c>
      <c r="C25" s="54" t="s">
        <v>115</v>
      </c>
      <c r="D25" s="246">
        <v>2.3088597939288927E-2</v>
      </c>
      <c r="E25" s="246">
        <v>2.5284740413960786E-2</v>
      </c>
      <c r="F25" s="246">
        <v>2.6801824838798435E-2</v>
      </c>
    </row>
    <row r="26" spans="2:6" x14ac:dyDescent="0.2">
      <c r="B26" s="3">
        <v>19</v>
      </c>
      <c r="C26" s="54" t="s">
        <v>116</v>
      </c>
      <c r="D26" s="246">
        <v>1.2181523820973792</v>
      </c>
      <c r="E26" s="246">
        <v>1.3099889473582025</v>
      </c>
      <c r="F26" s="246">
        <v>1.3885882841996946</v>
      </c>
    </row>
    <row r="27" spans="2:6" x14ac:dyDescent="0.2">
      <c r="B27" s="3">
        <v>20</v>
      </c>
      <c r="C27" s="54" t="s">
        <v>117</v>
      </c>
      <c r="D27" s="246">
        <v>0</v>
      </c>
      <c r="E27" s="246">
        <v>0</v>
      </c>
      <c r="F27" s="246">
        <v>0</v>
      </c>
    </row>
    <row r="28" spans="2:6" x14ac:dyDescent="0.2">
      <c r="B28" s="3">
        <v>21</v>
      </c>
      <c r="C28" s="54" t="s">
        <v>118</v>
      </c>
      <c r="D28" s="246">
        <v>0</v>
      </c>
      <c r="E28" s="246">
        <v>0</v>
      </c>
      <c r="F28" s="246">
        <v>0</v>
      </c>
    </row>
    <row r="29" spans="2:6" x14ac:dyDescent="0.2">
      <c r="B29" s="3">
        <v>22</v>
      </c>
      <c r="C29" s="54" t="s">
        <v>119</v>
      </c>
      <c r="D29" s="246">
        <v>2.4280006058116119E-2</v>
      </c>
      <c r="E29" s="246">
        <v>2.6783590582367858E-2</v>
      </c>
      <c r="F29" s="246">
        <v>2.839060601730993E-2</v>
      </c>
    </row>
    <row r="30" spans="2:6" x14ac:dyDescent="0.2">
      <c r="B30" s="3">
        <v>23</v>
      </c>
      <c r="C30" s="54" t="s">
        <v>120</v>
      </c>
      <c r="D30" s="246">
        <v>0</v>
      </c>
      <c r="E30" s="246">
        <v>0</v>
      </c>
      <c r="F30" s="246">
        <v>0</v>
      </c>
    </row>
    <row r="31" spans="2:6" x14ac:dyDescent="0.2">
      <c r="B31" s="3">
        <v>24</v>
      </c>
      <c r="C31" s="54" t="s">
        <v>121</v>
      </c>
      <c r="D31" s="246">
        <v>4.031988253554171E-2</v>
      </c>
      <c r="E31" s="246">
        <v>4.4182987037193207E-2</v>
      </c>
      <c r="F31" s="246">
        <v>4.6833966259424799E-2</v>
      </c>
    </row>
    <row r="32" spans="2:6" x14ac:dyDescent="0.2">
      <c r="B32" s="3">
        <v>25</v>
      </c>
      <c r="C32" s="54" t="s">
        <v>122</v>
      </c>
      <c r="D32" s="246">
        <v>0</v>
      </c>
      <c r="E32" s="246">
        <v>0</v>
      </c>
      <c r="F32" s="246">
        <v>0</v>
      </c>
    </row>
    <row r="33" spans="2:6" x14ac:dyDescent="0.2">
      <c r="B33" s="3">
        <v>26</v>
      </c>
      <c r="C33" s="54" t="s">
        <v>123</v>
      </c>
      <c r="D33" s="246">
        <v>0</v>
      </c>
      <c r="E33" s="246">
        <v>0</v>
      </c>
      <c r="F33" s="246">
        <v>0</v>
      </c>
    </row>
    <row r="34" spans="2:6" x14ac:dyDescent="0.2">
      <c r="B34" s="3">
        <v>27</v>
      </c>
      <c r="C34" s="54" t="s">
        <v>124</v>
      </c>
      <c r="D34" s="246">
        <v>5.2535881045357655E-3</v>
      </c>
      <c r="E34" s="246">
        <v>5.4495460808782724E-3</v>
      </c>
      <c r="F34" s="246">
        <v>5.7765188457309692E-3</v>
      </c>
    </row>
    <row r="35" spans="2:6" x14ac:dyDescent="0.2">
      <c r="B35" s="3">
        <v>28</v>
      </c>
      <c r="C35" s="54" t="s">
        <v>95</v>
      </c>
      <c r="D35" s="246">
        <v>0.97623889521337004</v>
      </c>
      <c r="E35" s="246">
        <v>1.1096762412692875</v>
      </c>
      <c r="F35" s="246">
        <v>1.1762568157454449</v>
      </c>
    </row>
    <row r="36" spans="2:6" ht="15" x14ac:dyDescent="0.25">
      <c r="B36" s="3">
        <v>29</v>
      </c>
      <c r="C36" s="55" t="s">
        <v>125</v>
      </c>
      <c r="D36" s="114">
        <f>SUM(D8:D35)</f>
        <v>6.869579894604815</v>
      </c>
      <c r="E36" s="114">
        <f>SUM(E8:E35)</f>
        <v>7.5301686193407278</v>
      </c>
      <c r="F36" s="114">
        <f>SUM(F8:F35)</f>
        <v>7.9819787365011718</v>
      </c>
    </row>
    <row r="37" spans="2:6" ht="15" x14ac:dyDescent="0.25">
      <c r="B37" s="3">
        <v>30</v>
      </c>
      <c r="C37" s="43" t="s">
        <v>17</v>
      </c>
      <c r="D37" s="243"/>
      <c r="E37" s="242"/>
      <c r="F37" s="242"/>
    </row>
    <row r="38" spans="2:6" ht="15" x14ac:dyDescent="0.2">
      <c r="B38" s="3">
        <v>31</v>
      </c>
      <c r="C38" s="19" t="s">
        <v>126</v>
      </c>
      <c r="D38" s="114">
        <f>ROUND(D36-D37,2)</f>
        <v>6.87</v>
      </c>
      <c r="E38" s="114">
        <f t="shared" ref="E38:F38" si="0">ROUND(E36-E37,2)</f>
        <v>7.53</v>
      </c>
      <c r="F38" s="114">
        <f t="shared" si="0"/>
        <v>7.98</v>
      </c>
    </row>
  </sheetData>
  <mergeCells count="5">
    <mergeCell ref="B5:B7"/>
    <mergeCell ref="C5:C7"/>
    <mergeCell ref="B3:F3"/>
    <mergeCell ref="B2:F2"/>
    <mergeCell ref="B1:F1"/>
  </mergeCells>
  <pageMargins left="0.75" right="0.25" top="0.25" bottom="0.25" header="0.5" footer="0.5"/>
  <pageSetup paperSize="9" fitToWidth="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22"/>
  <sheetViews>
    <sheetView showGridLines="0" view="pageBreakPreview" zoomScale="90" zoomScaleNormal="98" zoomScaleSheetLayoutView="90" workbookViewId="0">
      <selection activeCell="F18" sqref="F18"/>
    </sheetView>
  </sheetViews>
  <sheetFormatPr defaultColWidth="9.28515625" defaultRowHeight="14.25" x14ac:dyDescent="0.2"/>
  <cols>
    <col min="1" max="1" width="4.5703125" style="13" customWidth="1"/>
    <col min="2" max="2" width="8.7109375" style="56" customWidth="1"/>
    <col min="3" max="3" width="45.7109375" style="13" customWidth="1"/>
    <col min="4" max="5" width="15.7109375" style="13" customWidth="1"/>
    <col min="6" max="6" width="12.28515625" style="13" customWidth="1"/>
    <col min="7" max="16384" width="9.28515625" style="13"/>
  </cols>
  <sheetData>
    <row r="2" spans="2:6" ht="14.25" customHeight="1" x14ac:dyDescent="0.2">
      <c r="B2" s="283" t="s">
        <v>403</v>
      </c>
      <c r="C2" s="283"/>
      <c r="D2" s="283"/>
      <c r="E2" s="283"/>
      <c r="F2" s="283"/>
    </row>
    <row r="3" spans="2:6" ht="14.25" customHeight="1" x14ac:dyDescent="0.2">
      <c r="B3" s="283" t="s">
        <v>468</v>
      </c>
      <c r="C3" s="283"/>
      <c r="D3" s="283"/>
      <c r="E3" s="283"/>
      <c r="F3" s="283"/>
    </row>
    <row r="4" spans="2:6" s="4" customFormat="1" ht="14.25" customHeight="1" x14ac:dyDescent="0.2">
      <c r="B4" s="283" t="s">
        <v>269</v>
      </c>
      <c r="C4" s="283"/>
      <c r="D4" s="283"/>
      <c r="E4" s="283"/>
      <c r="F4" s="283"/>
    </row>
    <row r="6" spans="2:6" ht="15" x14ac:dyDescent="0.2">
      <c r="F6" s="26" t="s">
        <v>4</v>
      </c>
    </row>
    <row r="7" spans="2:6" ht="12.75" customHeight="1" x14ac:dyDescent="0.2">
      <c r="B7" s="278" t="s">
        <v>193</v>
      </c>
      <c r="C7" s="276" t="s">
        <v>18</v>
      </c>
      <c r="D7" s="15" t="s">
        <v>405</v>
      </c>
      <c r="E7" s="15" t="s">
        <v>406</v>
      </c>
      <c r="F7" s="23" t="s">
        <v>467</v>
      </c>
    </row>
    <row r="8" spans="2:6" ht="15" x14ac:dyDescent="0.2">
      <c r="B8" s="278"/>
      <c r="C8" s="276"/>
      <c r="D8" s="15" t="s">
        <v>240</v>
      </c>
      <c r="E8" s="15" t="s">
        <v>239</v>
      </c>
      <c r="F8" s="15" t="s">
        <v>239</v>
      </c>
    </row>
    <row r="9" spans="2:6" ht="15" x14ac:dyDescent="0.2">
      <c r="B9" s="278"/>
      <c r="C9" s="276"/>
      <c r="D9" s="15" t="s">
        <v>12</v>
      </c>
      <c r="E9" s="15" t="s">
        <v>5</v>
      </c>
      <c r="F9" s="15" t="s">
        <v>8</v>
      </c>
    </row>
    <row r="10" spans="2:6" x14ac:dyDescent="0.2">
      <c r="B10" s="2">
        <v>1</v>
      </c>
      <c r="C10" s="54" t="s">
        <v>127</v>
      </c>
      <c r="D10" s="246">
        <v>32.577409616217651</v>
      </c>
      <c r="E10" s="246">
        <v>34.576826332265711</v>
      </c>
      <c r="F10" s="246">
        <v>36.651435912201656</v>
      </c>
    </row>
    <row r="11" spans="2:6" x14ac:dyDescent="0.2">
      <c r="B11" s="2">
        <v>2</v>
      </c>
      <c r="C11" s="54" t="s">
        <v>128</v>
      </c>
      <c r="D11" s="246">
        <v>3.4511582996961483</v>
      </c>
      <c r="E11" s="246">
        <v>3.6509323375108718</v>
      </c>
      <c r="F11" s="246">
        <v>3.8699882777615242</v>
      </c>
    </row>
    <row r="12" spans="2:6" x14ac:dyDescent="0.2">
      <c r="B12" s="2">
        <v>3</v>
      </c>
      <c r="C12" s="54" t="s">
        <v>129</v>
      </c>
      <c r="D12" s="246">
        <v>0</v>
      </c>
      <c r="E12" s="246">
        <v>0</v>
      </c>
      <c r="F12" s="246">
        <v>0</v>
      </c>
    </row>
    <row r="13" spans="2:6" x14ac:dyDescent="0.2">
      <c r="B13" s="2">
        <v>4</v>
      </c>
      <c r="C13" s="54" t="s">
        <v>130</v>
      </c>
      <c r="D13" s="246">
        <v>1.0872090909090909E-2</v>
      </c>
      <c r="E13" s="246">
        <v>1.1563685816547058E-2</v>
      </c>
      <c r="F13" s="246">
        <v>1.2257506965539882E-2</v>
      </c>
    </row>
    <row r="14" spans="2:6" x14ac:dyDescent="0.2">
      <c r="B14" s="2">
        <v>5</v>
      </c>
      <c r="C14" s="54" t="s">
        <v>131</v>
      </c>
      <c r="D14" s="246">
        <v>1.8730263062479908</v>
      </c>
      <c r="E14" s="246">
        <v>1.9846777402452849</v>
      </c>
      <c r="F14" s="246">
        <v>2.103758404660002</v>
      </c>
    </row>
    <row r="15" spans="2:6" x14ac:dyDescent="0.2">
      <c r="B15" s="2">
        <v>6</v>
      </c>
      <c r="C15" s="54" t="s">
        <v>132</v>
      </c>
      <c r="D15" s="246">
        <v>9.6060200663555997E-3</v>
      </c>
      <c r="E15" s="246">
        <v>1.0179918541483556E-2</v>
      </c>
      <c r="F15" s="246">
        <v>1.0790713653972569E-2</v>
      </c>
    </row>
    <row r="16" spans="2:6" x14ac:dyDescent="0.2">
      <c r="B16" s="2">
        <v>7</v>
      </c>
      <c r="C16" s="54" t="s">
        <v>133</v>
      </c>
      <c r="D16" s="246">
        <v>4.5381818181818181E-4</v>
      </c>
      <c r="E16" s="246">
        <v>4.8268644148238539E-4</v>
      </c>
      <c r="F16" s="246">
        <v>5.1164762797132853E-4</v>
      </c>
    </row>
    <row r="17" spans="2:6" x14ac:dyDescent="0.2">
      <c r="B17" s="2">
        <v>8</v>
      </c>
      <c r="C17" s="54" t="s">
        <v>134</v>
      </c>
      <c r="D17" s="246">
        <v>0.32918808493195018</v>
      </c>
      <c r="E17" s="246">
        <v>0.34682158243275718</v>
      </c>
      <c r="F17" s="246">
        <v>0.36763087737872263</v>
      </c>
    </row>
    <row r="18" spans="2:6" ht="15" x14ac:dyDescent="0.25">
      <c r="B18" s="2">
        <v>9</v>
      </c>
      <c r="C18" s="55" t="s">
        <v>135</v>
      </c>
      <c r="D18" s="114">
        <f>ROUND(SUM(D10:D17),2)</f>
        <v>38.25</v>
      </c>
      <c r="E18" s="114">
        <f t="shared" ref="E18:F18" si="0">ROUND(SUM(E10:E17),2)</f>
        <v>40.58</v>
      </c>
      <c r="F18" s="114">
        <f t="shared" si="0"/>
        <v>43.02</v>
      </c>
    </row>
    <row r="19" spans="2:6" ht="15" x14ac:dyDescent="0.25">
      <c r="B19" s="2"/>
      <c r="C19" s="53"/>
      <c r="D19" s="243"/>
      <c r="E19" s="244"/>
      <c r="F19" s="245"/>
    </row>
    <row r="20" spans="2:6" ht="15" x14ac:dyDescent="0.2">
      <c r="B20" s="2">
        <v>10</v>
      </c>
      <c r="C20" s="57" t="s">
        <v>136</v>
      </c>
      <c r="D20" s="114">
        <f>'F4'!F22</f>
        <v>2548.9699999999998</v>
      </c>
      <c r="E20" s="114">
        <f>'F4'!F39</f>
        <v>2549.23</v>
      </c>
      <c r="F20" s="114">
        <f>'F4'!F56</f>
        <v>2557.5500000000002</v>
      </c>
    </row>
    <row r="21" spans="2:6" ht="28.5" x14ac:dyDescent="0.2">
      <c r="B21" s="2">
        <v>11</v>
      </c>
      <c r="C21" s="57" t="s">
        <v>137</v>
      </c>
      <c r="D21" s="125">
        <f>IFERROR(D18/D20,0)</f>
        <v>1.5006061271807829E-2</v>
      </c>
      <c r="E21" s="125">
        <f>IFERROR(E18/E20,0)</f>
        <v>1.5918532262683242E-2</v>
      </c>
      <c r="F21" s="125">
        <f>IFERROR(F18/F20,0)</f>
        <v>1.6820785517389688E-2</v>
      </c>
    </row>
    <row r="22" spans="2:6" x14ac:dyDescent="0.2">
      <c r="B22" s="2"/>
      <c r="C22" s="53"/>
      <c r="D22" s="124"/>
      <c r="E22" s="124"/>
      <c r="F22" s="124"/>
    </row>
  </sheetData>
  <mergeCells count="5">
    <mergeCell ref="B7:B9"/>
    <mergeCell ref="C7:C9"/>
    <mergeCell ref="B4:F4"/>
    <mergeCell ref="B3:F3"/>
    <mergeCell ref="B2:F2"/>
  </mergeCells>
  <pageMargins left="1.25" right="0.75" top="1" bottom="1" header="0.5" footer="0.5"/>
  <pageSetup paperSize="9" scale="12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6"/>
  <sheetViews>
    <sheetView view="pageBreakPreview" zoomScale="90" zoomScaleNormal="118" zoomScaleSheetLayoutView="90" workbookViewId="0">
      <selection activeCell="L22" sqref="L22"/>
    </sheetView>
  </sheetViews>
  <sheetFormatPr defaultColWidth="9.28515625" defaultRowHeight="14.25" x14ac:dyDescent="0.2"/>
  <cols>
    <col min="1" max="1" width="4.28515625" style="4" customWidth="1"/>
    <col min="2" max="2" width="6.28515625" style="4" customWidth="1"/>
    <col min="3" max="3" width="34.5703125" style="4" customWidth="1"/>
    <col min="4" max="4" width="13.7109375" style="4" bestFit="1" customWidth="1"/>
    <col min="5" max="5" width="12.5703125" style="4" bestFit="1" customWidth="1"/>
    <col min="6" max="6" width="13.42578125" style="4" bestFit="1" customWidth="1"/>
    <col min="7" max="7" width="12.140625" style="4" customWidth="1"/>
    <col min="8" max="8" width="12.5703125" style="4" customWidth="1"/>
    <col min="9" max="9" width="11.7109375" style="4" bestFit="1" customWidth="1"/>
    <col min="10" max="10" width="10.5703125" style="4" customWidth="1"/>
    <col min="11" max="16384" width="9.28515625" style="4"/>
  </cols>
  <sheetData>
    <row r="1" spans="2:10" ht="15" x14ac:dyDescent="0.25">
      <c r="B1" s="58"/>
    </row>
    <row r="2" spans="2:10" ht="14.25" customHeight="1" x14ac:dyDescent="0.2">
      <c r="B2" s="283" t="s">
        <v>403</v>
      </c>
      <c r="C2" s="283"/>
      <c r="D2" s="283"/>
      <c r="E2" s="283"/>
      <c r="F2" s="283"/>
      <c r="G2" s="283"/>
      <c r="H2" s="283"/>
      <c r="I2" s="283"/>
      <c r="J2" s="283"/>
    </row>
    <row r="3" spans="2:10" ht="14.25" customHeight="1" x14ac:dyDescent="0.2">
      <c r="B3" s="283" t="s">
        <v>468</v>
      </c>
      <c r="C3" s="283"/>
      <c r="D3" s="283"/>
      <c r="E3" s="283"/>
      <c r="F3" s="283"/>
      <c r="G3" s="283"/>
      <c r="H3" s="283"/>
      <c r="I3" s="283"/>
      <c r="J3" s="283"/>
    </row>
    <row r="4" spans="2:10" ht="14.25" customHeight="1" x14ac:dyDescent="0.2">
      <c r="B4" s="283" t="s">
        <v>270</v>
      </c>
      <c r="C4" s="283"/>
      <c r="D4" s="283"/>
      <c r="E4" s="283"/>
      <c r="F4" s="283"/>
      <c r="G4" s="283"/>
      <c r="H4" s="283"/>
      <c r="I4" s="283"/>
      <c r="J4" s="283"/>
    </row>
    <row r="5" spans="2:10" ht="15" x14ac:dyDescent="0.25">
      <c r="B5" s="36"/>
      <c r="C5" s="59"/>
      <c r="D5" s="59"/>
      <c r="E5" s="59"/>
      <c r="F5" s="59"/>
      <c r="G5" s="59"/>
      <c r="H5" s="59"/>
    </row>
    <row r="6" spans="2:10" ht="15" x14ac:dyDescent="0.2">
      <c r="H6" s="26" t="s">
        <v>4</v>
      </c>
    </row>
    <row r="7" spans="2:10" s="13" customFormat="1" ht="15" customHeight="1" x14ac:dyDescent="0.2">
      <c r="B7" s="273" t="s">
        <v>193</v>
      </c>
      <c r="C7" s="276" t="s">
        <v>18</v>
      </c>
      <c r="D7" s="280" t="s">
        <v>405</v>
      </c>
      <c r="E7" s="281"/>
      <c r="F7" s="282"/>
      <c r="G7" s="280" t="s">
        <v>406</v>
      </c>
      <c r="H7" s="282"/>
      <c r="I7" s="280" t="s">
        <v>467</v>
      </c>
      <c r="J7" s="282"/>
    </row>
    <row r="8" spans="2:10" s="13" customFormat="1" ht="45" x14ac:dyDescent="0.2">
      <c r="B8" s="274"/>
      <c r="C8" s="276"/>
      <c r="D8" s="15" t="s">
        <v>370</v>
      </c>
      <c r="E8" s="15" t="s">
        <v>240</v>
      </c>
      <c r="F8" s="15" t="s">
        <v>208</v>
      </c>
      <c r="G8" s="15" t="s">
        <v>370</v>
      </c>
      <c r="H8" s="15" t="s">
        <v>239</v>
      </c>
      <c r="I8" s="15" t="s">
        <v>370</v>
      </c>
      <c r="J8" s="15" t="s">
        <v>239</v>
      </c>
    </row>
    <row r="9" spans="2:10" s="13" customFormat="1" ht="30" x14ac:dyDescent="0.2">
      <c r="B9" s="275"/>
      <c r="C9" s="277"/>
      <c r="D9" s="15" t="s">
        <v>10</v>
      </c>
      <c r="E9" s="15" t="s">
        <v>12</v>
      </c>
      <c r="F9" s="15" t="s">
        <v>231</v>
      </c>
      <c r="G9" s="15" t="s">
        <v>10</v>
      </c>
      <c r="H9" s="15" t="s">
        <v>5</v>
      </c>
      <c r="I9" s="15" t="s">
        <v>10</v>
      </c>
      <c r="J9" s="15" t="s">
        <v>8</v>
      </c>
    </row>
    <row r="10" spans="2:10" s="5" customFormat="1" x14ac:dyDescent="0.2">
      <c r="B10" s="62">
        <v>1</v>
      </c>
      <c r="C10" s="27" t="s">
        <v>244</v>
      </c>
      <c r="D10" s="2"/>
      <c r="E10" s="27"/>
      <c r="F10" s="27"/>
      <c r="G10" s="113"/>
      <c r="H10" s="113">
        <f>E13</f>
        <v>0</v>
      </c>
      <c r="I10" s="113"/>
      <c r="J10" s="113">
        <f>H13</f>
        <v>0</v>
      </c>
    </row>
    <row r="11" spans="2:10" s="5" customFormat="1" x14ac:dyDescent="0.2">
      <c r="B11" s="20">
        <v>2</v>
      </c>
      <c r="C11" s="27" t="s">
        <v>273</v>
      </c>
      <c r="D11" s="2"/>
      <c r="E11" s="110">
        <v>0.26</v>
      </c>
      <c r="F11" s="110">
        <f>E11</f>
        <v>0.26</v>
      </c>
      <c r="G11" s="21"/>
      <c r="H11" s="113">
        <v>8.32</v>
      </c>
      <c r="I11" s="113"/>
      <c r="J11" s="113"/>
    </row>
    <row r="12" spans="2:10" s="5" customFormat="1" ht="15" x14ac:dyDescent="0.2">
      <c r="B12" s="20">
        <v>3</v>
      </c>
      <c r="C12" s="29" t="s">
        <v>225</v>
      </c>
      <c r="D12" s="122"/>
      <c r="E12" s="128">
        <v>0.26</v>
      </c>
      <c r="F12" s="128">
        <f>E12</f>
        <v>0.26</v>
      </c>
      <c r="G12" s="122"/>
      <c r="H12" s="112">
        <v>8.32</v>
      </c>
      <c r="I12" s="112"/>
      <c r="J12" s="112"/>
    </row>
    <row r="13" spans="2:10" s="5" customFormat="1" ht="15" x14ac:dyDescent="0.2">
      <c r="B13" s="20">
        <v>4</v>
      </c>
      <c r="C13" s="27" t="s">
        <v>245</v>
      </c>
      <c r="D13" s="123">
        <f>D10+D11-D12</f>
        <v>0</v>
      </c>
      <c r="E13" s="123">
        <f t="shared" ref="E13:J13" si="0">E10+E11-E12</f>
        <v>0</v>
      </c>
      <c r="F13" s="123">
        <f t="shared" si="0"/>
        <v>0</v>
      </c>
      <c r="G13" s="123">
        <f t="shared" si="0"/>
        <v>0</v>
      </c>
      <c r="H13" s="123">
        <f>H10+H11-H12</f>
        <v>0</v>
      </c>
      <c r="I13" s="123">
        <f>I10+I11-I12</f>
        <v>0</v>
      </c>
      <c r="J13" s="123">
        <f t="shared" si="0"/>
        <v>0</v>
      </c>
    </row>
    <row r="14" spans="2:10" s="32" customFormat="1" ht="15" x14ac:dyDescent="0.2">
      <c r="B14" s="63"/>
      <c r="C14" s="50"/>
      <c r="D14" s="60"/>
      <c r="E14" s="60"/>
      <c r="F14" s="60"/>
      <c r="G14" s="61"/>
      <c r="H14" s="24"/>
    </row>
    <row r="16" spans="2:10" x14ac:dyDescent="0.2">
      <c r="B16" s="64"/>
    </row>
  </sheetData>
  <mergeCells count="8">
    <mergeCell ref="B2:J2"/>
    <mergeCell ref="B3:J3"/>
    <mergeCell ref="B4:J4"/>
    <mergeCell ref="I7:J7"/>
    <mergeCell ref="B7:B9"/>
    <mergeCell ref="C7:C9"/>
    <mergeCell ref="D7:F7"/>
    <mergeCell ref="G7:H7"/>
  </mergeCells>
  <pageMargins left="0.27" right="0.25" top="1" bottom="1" header="0.25" footer="0.25"/>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21"/>
  <sheetViews>
    <sheetView showGridLines="0" view="pageBreakPreview" zoomScale="90" zoomScaleNormal="106" zoomScaleSheetLayoutView="90" workbookViewId="0">
      <selection sqref="A1:XFD1048576"/>
    </sheetView>
  </sheetViews>
  <sheetFormatPr defaultRowHeight="14.25" x14ac:dyDescent="0.2"/>
  <cols>
    <col min="1" max="1" width="4.140625" style="5" customWidth="1"/>
    <col min="2" max="2" width="6.28515625" style="5" customWidth="1"/>
    <col min="3" max="3" width="18.140625" style="5" customWidth="1"/>
    <col min="4" max="4" width="37" style="5" customWidth="1"/>
    <col min="5" max="5" width="61.85546875" style="5" customWidth="1"/>
    <col min="6" max="6" width="22" style="5" customWidth="1"/>
    <col min="7" max="7" width="23.5703125" style="5" customWidth="1"/>
    <col min="8" max="8" width="21.7109375" style="5" customWidth="1"/>
    <col min="9" max="9" width="34" style="5" customWidth="1"/>
    <col min="10" max="10" width="50.85546875" style="5" customWidth="1"/>
    <col min="11" max="11" width="36.42578125" style="5" customWidth="1"/>
    <col min="12" max="12" width="26.28515625" style="5" customWidth="1"/>
    <col min="13" max="13" width="13.140625" style="5" bestFit="1" customWidth="1"/>
    <col min="14" max="14" width="12.5703125" style="5" customWidth="1"/>
    <col min="15" max="15" width="11.85546875" style="5" bestFit="1" customWidth="1"/>
    <col min="16" max="16" width="13.85546875" style="5" bestFit="1" customWidth="1"/>
    <col min="17" max="21" width="11.85546875" style="5" bestFit="1" customWidth="1"/>
    <col min="22" max="22" width="11.7109375" style="5" bestFit="1" customWidth="1"/>
    <col min="23" max="16384" width="9.140625" style="5"/>
  </cols>
  <sheetData>
    <row r="1" spans="2:17" ht="15" x14ac:dyDescent="0.2">
      <c r="B1" s="264"/>
    </row>
    <row r="2" spans="2:17" ht="15" x14ac:dyDescent="0.2">
      <c r="B2" s="327" t="s">
        <v>403</v>
      </c>
      <c r="C2" s="327"/>
      <c r="D2" s="327"/>
      <c r="E2" s="327"/>
      <c r="F2" s="327"/>
      <c r="G2" s="327"/>
      <c r="H2" s="327"/>
      <c r="I2" s="327"/>
      <c r="J2" s="327"/>
      <c r="K2" s="327"/>
      <c r="L2" s="327"/>
    </row>
    <row r="3" spans="2:17" ht="15" x14ac:dyDescent="0.2">
      <c r="B3" s="327" t="s">
        <v>468</v>
      </c>
      <c r="C3" s="327"/>
      <c r="D3" s="327"/>
      <c r="E3" s="327"/>
      <c r="F3" s="327"/>
      <c r="G3" s="327"/>
      <c r="H3" s="327"/>
      <c r="I3" s="327"/>
      <c r="J3" s="327"/>
      <c r="K3" s="327"/>
      <c r="L3" s="327"/>
    </row>
    <row r="4" spans="2:17" ht="15" x14ac:dyDescent="0.2">
      <c r="B4" s="283" t="s">
        <v>271</v>
      </c>
      <c r="C4" s="283"/>
      <c r="D4" s="283"/>
      <c r="E4" s="283"/>
      <c r="F4" s="283"/>
      <c r="G4" s="283"/>
      <c r="H4" s="283"/>
      <c r="I4" s="283"/>
      <c r="J4" s="283"/>
      <c r="K4" s="283"/>
      <c r="L4" s="283"/>
    </row>
    <row r="5" spans="2:17" ht="15" x14ac:dyDescent="0.2">
      <c r="K5" s="263"/>
    </row>
    <row r="6" spans="2:17" ht="60" x14ac:dyDescent="0.2">
      <c r="B6" s="265" t="s">
        <v>193</v>
      </c>
      <c r="C6" s="328" t="s">
        <v>246</v>
      </c>
      <c r="D6" s="223" t="s">
        <v>492</v>
      </c>
      <c r="E6" s="328" t="s">
        <v>247</v>
      </c>
      <c r="F6" s="223" t="s">
        <v>249</v>
      </c>
      <c r="G6" s="223" t="s">
        <v>493</v>
      </c>
      <c r="H6" s="223" t="s">
        <v>252</v>
      </c>
      <c r="I6" s="223" t="s">
        <v>494</v>
      </c>
      <c r="J6" s="328" t="s">
        <v>248</v>
      </c>
      <c r="K6" s="223" t="s">
        <v>253</v>
      </c>
      <c r="L6" s="223" t="s">
        <v>186</v>
      </c>
      <c r="M6" s="25"/>
      <c r="N6" s="25"/>
      <c r="O6" s="25"/>
      <c r="P6" s="25"/>
    </row>
    <row r="7" spans="2:17" s="32" customFormat="1" ht="15" x14ac:dyDescent="0.2">
      <c r="B7" s="182"/>
      <c r="C7" s="223" t="s">
        <v>495</v>
      </c>
      <c r="D7" s="329"/>
      <c r="E7" s="329"/>
      <c r="F7" s="329"/>
      <c r="G7" s="329"/>
      <c r="H7" s="329"/>
      <c r="I7" s="329"/>
      <c r="J7" s="329"/>
      <c r="K7" s="223"/>
      <c r="L7" s="330"/>
      <c r="M7" s="264"/>
      <c r="N7" s="264"/>
      <c r="O7" s="264"/>
      <c r="P7" s="264"/>
      <c r="Q7" s="264"/>
    </row>
    <row r="8" spans="2:17" ht="30" x14ac:dyDescent="0.2">
      <c r="B8" s="182">
        <v>1</v>
      </c>
      <c r="C8" s="182"/>
      <c r="D8" s="230"/>
      <c r="E8" s="179" t="s">
        <v>496</v>
      </c>
      <c r="F8" s="331">
        <v>1.50872E-2</v>
      </c>
      <c r="G8" s="328"/>
      <c r="H8" s="331">
        <f>F8</f>
        <v>1.50872E-2</v>
      </c>
      <c r="I8" s="230"/>
      <c r="J8" s="230"/>
      <c r="K8" s="332" t="s">
        <v>497</v>
      </c>
      <c r="L8" s="162" t="s">
        <v>498</v>
      </c>
    </row>
    <row r="9" spans="2:17" ht="30" x14ac:dyDescent="0.2">
      <c r="B9" s="182">
        <v>2</v>
      </c>
      <c r="C9" s="182"/>
      <c r="D9" s="230"/>
      <c r="E9" s="162" t="s">
        <v>499</v>
      </c>
      <c r="F9" s="331">
        <v>0.24669379999999999</v>
      </c>
      <c r="G9" s="328"/>
      <c r="H9" s="331">
        <f>F9</f>
        <v>0.24669379999999999</v>
      </c>
      <c r="I9" s="230"/>
      <c r="J9" s="230"/>
      <c r="K9" s="332" t="s">
        <v>497</v>
      </c>
      <c r="L9" s="162" t="s">
        <v>500</v>
      </c>
    </row>
    <row r="10" spans="2:17" ht="15" x14ac:dyDescent="0.2">
      <c r="B10" s="230"/>
      <c r="C10" s="230" t="s">
        <v>9</v>
      </c>
      <c r="D10" s="230"/>
      <c r="E10" s="230"/>
      <c r="F10" s="328"/>
      <c r="G10" s="328"/>
      <c r="H10" s="328"/>
      <c r="I10" s="230"/>
      <c r="J10" s="230"/>
      <c r="K10" s="230"/>
      <c r="L10" s="230"/>
    </row>
    <row r="11" spans="2:17" ht="15" x14ac:dyDescent="0.2">
      <c r="B11" s="230"/>
      <c r="C11" s="328" t="s">
        <v>139</v>
      </c>
      <c r="D11" s="230"/>
      <c r="E11" s="230"/>
      <c r="F11" s="331">
        <f>SUM(F8:F10)</f>
        <v>0.26178099999999999</v>
      </c>
      <c r="G11" s="328"/>
      <c r="H11" s="331">
        <f>SUM(H8:H10)</f>
        <v>0.26178099999999999</v>
      </c>
      <c r="I11" s="230"/>
      <c r="J11" s="230"/>
      <c r="K11" s="230"/>
      <c r="L11" s="230"/>
    </row>
    <row r="12" spans="2:17" ht="15" x14ac:dyDescent="0.2">
      <c r="B12" s="182"/>
      <c r="C12" s="223" t="s">
        <v>501</v>
      </c>
      <c r="D12" s="230"/>
      <c r="E12" s="230"/>
      <c r="F12" s="328"/>
      <c r="G12" s="328"/>
      <c r="H12" s="328"/>
      <c r="I12" s="230"/>
      <c r="J12" s="230"/>
      <c r="K12" s="230"/>
      <c r="L12" s="230"/>
    </row>
    <row r="13" spans="2:17" ht="76.5" x14ac:dyDescent="0.2">
      <c r="B13" s="182">
        <v>1</v>
      </c>
      <c r="C13" s="182"/>
      <c r="E13" s="333" t="s">
        <v>502</v>
      </c>
      <c r="F13" s="334">
        <v>5</v>
      </c>
      <c r="G13" s="334">
        <v>5</v>
      </c>
      <c r="H13" s="334">
        <v>5</v>
      </c>
      <c r="I13" s="332" t="s">
        <v>503</v>
      </c>
      <c r="J13" s="335" t="s">
        <v>504</v>
      </c>
      <c r="K13" s="332" t="s">
        <v>497</v>
      </c>
      <c r="L13" s="336" t="s">
        <v>505</v>
      </c>
    </row>
    <row r="14" spans="2:17" ht="15" customHeight="1" x14ac:dyDescent="0.2">
      <c r="B14" s="182">
        <v>2</v>
      </c>
      <c r="C14" s="182"/>
      <c r="D14" s="337"/>
      <c r="E14" s="338" t="s">
        <v>506</v>
      </c>
      <c r="F14" s="334">
        <v>3</v>
      </c>
      <c r="G14" s="334">
        <v>3</v>
      </c>
      <c r="H14" s="334">
        <v>1.5</v>
      </c>
      <c r="I14" s="339" t="s">
        <v>132</v>
      </c>
      <c r="J14" s="335" t="s">
        <v>507</v>
      </c>
      <c r="K14" s="332" t="s">
        <v>497</v>
      </c>
      <c r="L14" s="332" t="s">
        <v>505</v>
      </c>
    </row>
    <row r="15" spans="2:17" ht="76.5" x14ac:dyDescent="0.2">
      <c r="B15" s="182">
        <v>3</v>
      </c>
      <c r="C15" s="182"/>
      <c r="D15" s="337"/>
      <c r="E15" s="340" t="s">
        <v>508</v>
      </c>
      <c r="F15" s="341">
        <v>1.1000000000000001</v>
      </c>
      <c r="G15" s="341">
        <v>1.1000000000000001</v>
      </c>
      <c r="H15" s="334">
        <f>1.1/2</f>
        <v>0.55000000000000004</v>
      </c>
      <c r="I15" s="339" t="s">
        <v>509</v>
      </c>
      <c r="J15" s="335" t="s">
        <v>510</v>
      </c>
      <c r="K15" s="332" t="s">
        <v>497</v>
      </c>
      <c r="L15" s="332" t="s">
        <v>505</v>
      </c>
    </row>
    <row r="16" spans="2:17" ht="38.25" x14ac:dyDescent="0.2">
      <c r="B16" s="230"/>
      <c r="C16" s="230" t="s">
        <v>9</v>
      </c>
      <c r="D16" s="337"/>
      <c r="E16" s="340" t="s">
        <v>511</v>
      </c>
      <c r="F16" s="334">
        <v>2.5299999999999998</v>
      </c>
      <c r="G16" s="334">
        <v>2.5299999999999998</v>
      </c>
      <c r="H16" s="334">
        <f>2.53/2</f>
        <v>1.2649999999999999</v>
      </c>
      <c r="I16" s="332" t="s">
        <v>503</v>
      </c>
      <c r="J16" s="335" t="s">
        <v>511</v>
      </c>
      <c r="K16" s="332" t="s">
        <v>497</v>
      </c>
      <c r="L16" s="336" t="s">
        <v>505</v>
      </c>
    </row>
    <row r="17" spans="2:12" ht="15" x14ac:dyDescent="0.2">
      <c r="B17" s="230"/>
      <c r="C17" s="328" t="s">
        <v>139</v>
      </c>
      <c r="D17" s="230"/>
      <c r="E17" s="230"/>
      <c r="F17" s="328"/>
      <c r="G17" s="328"/>
      <c r="H17" s="331">
        <f>SUM(H13:H16)</f>
        <v>8.3149999999999995</v>
      </c>
      <c r="I17" s="230"/>
      <c r="J17" s="230"/>
      <c r="K17" s="230"/>
      <c r="L17" s="230"/>
    </row>
    <row r="18" spans="2:12" ht="15" x14ac:dyDescent="0.2">
      <c r="B18" s="182"/>
      <c r="C18" s="223" t="s">
        <v>512</v>
      </c>
      <c r="D18" s="230"/>
      <c r="E18" s="230"/>
      <c r="F18" s="328"/>
      <c r="G18" s="328"/>
      <c r="H18" s="328"/>
      <c r="I18" s="230"/>
      <c r="J18" s="230"/>
      <c r="K18" s="230"/>
      <c r="L18" s="230"/>
    </row>
    <row r="19" spans="2:12" ht="15" x14ac:dyDescent="0.2">
      <c r="B19" s="182">
        <v>1</v>
      </c>
      <c r="C19" s="182"/>
      <c r="D19" s="230"/>
      <c r="E19" s="230"/>
      <c r="F19" s="328"/>
      <c r="G19" s="328"/>
      <c r="H19" s="328"/>
      <c r="I19" s="230"/>
      <c r="J19" s="230"/>
      <c r="K19" s="230"/>
      <c r="L19" s="230"/>
    </row>
    <row r="20" spans="2:12" ht="15" x14ac:dyDescent="0.2">
      <c r="B20" s="230"/>
      <c r="C20" s="328" t="s">
        <v>139</v>
      </c>
      <c r="D20" s="230"/>
      <c r="E20" s="230"/>
      <c r="F20" s="328"/>
      <c r="G20" s="328"/>
      <c r="H20" s="328"/>
      <c r="I20" s="230"/>
      <c r="J20" s="230"/>
      <c r="K20" s="230"/>
      <c r="L20" s="230"/>
    </row>
    <row r="21" spans="2:12" x14ac:dyDescent="0.2">
      <c r="B21" s="63" t="s">
        <v>250</v>
      </c>
      <c r="C21" s="51" t="s">
        <v>251</v>
      </c>
    </row>
  </sheetData>
  <mergeCells count="3">
    <mergeCell ref="B2:L2"/>
    <mergeCell ref="B3:L3"/>
    <mergeCell ref="B4:L4"/>
  </mergeCells>
  <pageMargins left="0.27" right="0.25" top="1" bottom="1" header="0.25" footer="0.25"/>
  <pageSetup paperSize="9" scale="42"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21"/>
  <sheetViews>
    <sheetView showGridLines="0" tabSelected="1" view="pageBreakPreview" zoomScaleSheetLayoutView="100" workbookViewId="0">
      <selection activeCell="G12" sqref="G12"/>
    </sheetView>
  </sheetViews>
  <sheetFormatPr defaultColWidth="9.28515625" defaultRowHeight="14.25" x14ac:dyDescent="0.2"/>
  <cols>
    <col min="1" max="2" width="9.28515625" style="88"/>
    <col min="3" max="3" width="32.85546875" style="88" customWidth="1"/>
    <col min="4" max="4" width="16.28515625" style="88" customWidth="1"/>
    <col min="5" max="5" width="12.5703125" style="88" customWidth="1"/>
    <col min="6" max="6" width="16.28515625" style="88" customWidth="1"/>
    <col min="7" max="16384" width="9.28515625" style="88"/>
  </cols>
  <sheetData>
    <row r="2" spans="2:6" ht="15" x14ac:dyDescent="0.2">
      <c r="D2" s="32" t="s">
        <v>403</v>
      </c>
    </row>
    <row r="3" spans="2:6" ht="15" x14ac:dyDescent="0.2">
      <c r="D3" s="32" t="s">
        <v>468</v>
      </c>
    </row>
    <row r="4" spans="2:6" ht="15" x14ac:dyDescent="0.2">
      <c r="D4" s="35" t="s">
        <v>298</v>
      </c>
    </row>
    <row r="6" spans="2:6" ht="15" customHeight="1" x14ac:dyDescent="0.2">
      <c r="B6" s="278" t="s">
        <v>193</v>
      </c>
      <c r="C6" s="290" t="s">
        <v>18</v>
      </c>
      <c r="D6" s="278" t="s">
        <v>405</v>
      </c>
      <c r="E6" s="138" t="s">
        <v>406</v>
      </c>
      <c r="F6" s="15" t="s">
        <v>467</v>
      </c>
    </row>
    <row r="7" spans="2:6" ht="15" x14ac:dyDescent="0.2">
      <c r="B7" s="278"/>
      <c r="C7" s="290"/>
      <c r="D7" s="278"/>
      <c r="E7" s="15" t="s">
        <v>239</v>
      </c>
      <c r="F7" s="15" t="s">
        <v>229</v>
      </c>
    </row>
    <row r="8" spans="2:6" ht="15" x14ac:dyDescent="0.2">
      <c r="B8" s="278"/>
      <c r="C8" s="290"/>
      <c r="D8" s="89" t="s">
        <v>3</v>
      </c>
      <c r="E8" s="15" t="s">
        <v>5</v>
      </c>
      <c r="F8" s="15" t="s">
        <v>8</v>
      </c>
    </row>
    <row r="9" spans="2:6" ht="15" x14ac:dyDescent="0.2">
      <c r="B9" s="90">
        <v>1</v>
      </c>
      <c r="C9" s="28" t="s">
        <v>299</v>
      </c>
      <c r="D9" s="111">
        <f>'F3'!E12</f>
        <v>0.26</v>
      </c>
      <c r="E9" s="111">
        <f>'F3'!H12</f>
        <v>8.32</v>
      </c>
      <c r="F9" s="111">
        <f>F3.1!H24</f>
        <v>0</v>
      </c>
    </row>
    <row r="10" spans="2:6" x14ac:dyDescent="0.2">
      <c r="B10" s="28"/>
      <c r="C10" s="28"/>
      <c r="D10" s="104"/>
      <c r="E10" s="104"/>
      <c r="F10" s="104"/>
    </row>
    <row r="11" spans="2:6" ht="15" x14ac:dyDescent="0.2">
      <c r="B11" s="90">
        <v>2</v>
      </c>
      <c r="C11" s="91" t="s">
        <v>187</v>
      </c>
      <c r="D11" s="104"/>
      <c r="E11" s="104"/>
      <c r="F11" s="104"/>
    </row>
    <row r="12" spans="2:6" x14ac:dyDescent="0.2">
      <c r="B12" s="28"/>
      <c r="C12" s="28" t="s">
        <v>192</v>
      </c>
      <c r="D12" s="104"/>
      <c r="E12" s="104"/>
      <c r="F12" s="104"/>
    </row>
    <row r="13" spans="2:6" x14ac:dyDescent="0.2">
      <c r="B13" s="28"/>
      <c r="C13" s="28" t="s">
        <v>191</v>
      </c>
      <c r="D13" s="104"/>
      <c r="E13" s="104"/>
      <c r="F13" s="104"/>
    </row>
    <row r="14" spans="2:6" x14ac:dyDescent="0.2">
      <c r="B14" s="28"/>
      <c r="C14" s="28" t="s">
        <v>9</v>
      </c>
      <c r="D14" s="104"/>
      <c r="E14" s="104"/>
      <c r="F14" s="104"/>
    </row>
    <row r="15" spans="2:6" ht="15" x14ac:dyDescent="0.2">
      <c r="B15" s="28"/>
      <c r="C15" s="91" t="s">
        <v>185</v>
      </c>
      <c r="D15" s="111">
        <f>SUM(D12:D14)</f>
        <v>0</v>
      </c>
      <c r="E15" s="111">
        <f>SUM(E12:E14)</f>
        <v>0</v>
      </c>
      <c r="F15" s="111">
        <f>SUM(F12:F14)</f>
        <v>0</v>
      </c>
    </row>
    <row r="16" spans="2:6" x14ac:dyDescent="0.2">
      <c r="B16" s="28"/>
      <c r="C16" s="28"/>
      <c r="D16" s="104"/>
      <c r="E16" s="104"/>
      <c r="F16" s="104"/>
    </row>
    <row r="17" spans="2:6" x14ac:dyDescent="0.2">
      <c r="B17" s="90">
        <v>3</v>
      </c>
      <c r="C17" s="28" t="s">
        <v>0</v>
      </c>
      <c r="D17" s="104"/>
      <c r="E17" s="104"/>
      <c r="F17" s="104"/>
    </row>
    <row r="18" spans="2:6" x14ac:dyDescent="0.2">
      <c r="B18" s="90">
        <v>4</v>
      </c>
      <c r="C18" s="28" t="s">
        <v>188</v>
      </c>
      <c r="D18" s="104">
        <f>D9</f>
        <v>0.26</v>
      </c>
      <c r="E18" s="104">
        <f>E9</f>
        <v>8.32</v>
      </c>
      <c r="F18" s="104">
        <f>F9</f>
        <v>0</v>
      </c>
    </row>
    <row r="19" spans="2:6" x14ac:dyDescent="0.2">
      <c r="B19" s="90">
        <v>5</v>
      </c>
      <c r="C19" s="28" t="s">
        <v>300</v>
      </c>
      <c r="D19" s="104"/>
      <c r="E19" s="104"/>
      <c r="F19" s="104"/>
    </row>
    <row r="20" spans="2:6" ht="15" x14ac:dyDescent="0.2">
      <c r="B20" s="28"/>
      <c r="C20" s="28"/>
      <c r="D20" s="108"/>
      <c r="E20" s="108"/>
      <c r="F20" s="108"/>
    </row>
    <row r="21" spans="2:6" ht="15" x14ac:dyDescent="0.2">
      <c r="B21" s="90">
        <v>6</v>
      </c>
      <c r="C21" s="91" t="s">
        <v>301</v>
      </c>
      <c r="D21" s="111">
        <f>D15+D17+D18+D19</f>
        <v>0.26</v>
      </c>
      <c r="E21" s="111">
        <f>SUM(E18:E20)</f>
        <v>8.32</v>
      </c>
      <c r="F21" s="111">
        <f>F15+F17+F18+F19</f>
        <v>0</v>
      </c>
    </row>
  </sheetData>
  <mergeCells count="3">
    <mergeCell ref="D6:D7"/>
    <mergeCell ref="B6:B8"/>
    <mergeCell ref="C6:C8"/>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2</vt:i4>
      </vt:variant>
    </vt:vector>
  </HeadingPairs>
  <TitlesOfParts>
    <vt:vector size="23" baseType="lpstr">
      <vt:lpstr>Checklist</vt:lpstr>
      <vt:lpstr>F1</vt:lpstr>
      <vt:lpstr>F2</vt:lpstr>
      <vt:lpstr>F2.1</vt:lpstr>
      <vt:lpstr>F2.2</vt:lpstr>
      <vt:lpstr>F2.3</vt:lpstr>
      <vt:lpstr>F3</vt:lpstr>
      <vt:lpstr>F3.1</vt:lpstr>
      <vt:lpstr>F3.2</vt:lpstr>
      <vt:lpstr>F4</vt:lpstr>
      <vt:lpstr>F5</vt:lpstr>
      <vt:lpstr>F6</vt:lpstr>
      <vt:lpstr>F7</vt:lpstr>
      <vt:lpstr>F8</vt:lpstr>
      <vt:lpstr>F9</vt:lpstr>
      <vt:lpstr>F10</vt:lpstr>
      <vt:lpstr>F11</vt:lpstr>
      <vt:lpstr>F11.1</vt:lpstr>
      <vt:lpstr>F12</vt:lpstr>
      <vt:lpstr>F13</vt:lpstr>
      <vt:lpstr>F15</vt:lpstr>
      <vt:lpstr>Checklist!Print_Area</vt:lpstr>
      <vt:lpstr>'F7'!Print_Area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Palaniappan M</dc:creator>
  <cp:lastModifiedBy>AE COMMERCIAL</cp:lastModifiedBy>
  <cp:lastPrinted>2025-11-28T11:48:55Z</cp:lastPrinted>
  <dcterms:created xsi:type="dcterms:W3CDTF">2004-07-28T05:30:50Z</dcterms:created>
  <dcterms:modified xsi:type="dcterms:W3CDTF">2025-12-16T10:36:35Z</dcterms:modified>
</cp:coreProperties>
</file>